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autoCompressPictures="0"/>
  <mc:AlternateContent xmlns:mc="http://schemas.openxmlformats.org/markup-compatibility/2006">
    <mc:Choice Requires="x15">
      <x15ac:absPath xmlns:x15ac="http://schemas.microsoft.com/office/spreadsheetml/2010/11/ac" url="C:\Users\Lis\Documents\Lis\epep\8form\BIFIE-SRP-Rechner\"/>
    </mc:Choice>
  </mc:AlternateContent>
  <bookViews>
    <workbookView xWindow="468" yWindow="-168" windowWidth="12240" windowHeight="9240" tabRatio="500"/>
  </bookViews>
  <sheets>
    <sheet name="Planungsblatt" sheetId="2" r:id="rId1"/>
    <sheet name="Klassenübersicht" sheetId="6" r:id="rId2"/>
    <sheet name="Einzel" sheetId="9" r:id="rId3"/>
    <sheet name="Hilfstabelle" sheetId="8" state="hidden" r:id="rId4"/>
    <sheet name="Tabelle1" sheetId="13" state="hidden" r:id="rId5"/>
    <sheet name="Begründungen" sheetId="14" r:id="rId6"/>
  </sheets>
  <definedNames>
    <definedName name="_xlnm.Print_Area" localSheetId="5">Begründungen!$B$3:$D$31</definedName>
    <definedName name="_xlnm.Print_Area" localSheetId="2">Einzel!$F$1:$Q$46</definedName>
    <definedName name="_xlnm.Print_Area" localSheetId="1">Klassenübersicht!$B$3:$Z$51</definedName>
    <definedName name="_xlnm.Print_Area" localSheetId="0">Planungsblatt!$A$2:$Q$41</definedName>
  </definedNames>
  <calcPr calcId="152511"/>
  <extLst>
    <ext xmlns:mx="http://schemas.microsoft.com/office/mac/excel/2008/main" uri="http://schemas.microsoft.com/office/mac/excel/2008/main">
      <mx:ArchID Flags="2"/>
    </ext>
  </extLst>
</workbook>
</file>

<file path=xl/calcChain.xml><?xml version="1.0" encoding="utf-8"?>
<calcChain xmlns="http://schemas.openxmlformats.org/spreadsheetml/2006/main">
  <c r="F32" i="8" l="1"/>
  <c r="F7" i="8"/>
  <c r="F6" i="8" l="1"/>
  <c r="F8" i="8"/>
  <c r="F9" i="8"/>
  <c r="F10" i="8"/>
  <c r="F11" i="8"/>
  <c r="F12" i="8"/>
  <c r="F13" i="8"/>
  <c r="F14" i="8"/>
  <c r="F15" i="8"/>
  <c r="F16" i="8"/>
  <c r="F17" i="8"/>
  <c r="F18" i="8"/>
  <c r="F19" i="8"/>
  <c r="F20" i="8"/>
  <c r="F21" i="8"/>
  <c r="F22" i="8"/>
  <c r="F23" i="8"/>
  <c r="F24" i="8"/>
  <c r="F25" i="8"/>
  <c r="F26" i="8"/>
  <c r="F27" i="8"/>
  <c r="F28" i="8"/>
  <c r="F29" i="8"/>
  <c r="F30" i="8"/>
  <c r="F31" i="8"/>
  <c r="G22" i="6" l="1"/>
  <c r="N24" i="6"/>
  <c r="L24" i="2" l="1"/>
  <c r="B5" i="14" l="1"/>
  <c r="C4" i="14"/>
  <c r="C5" i="14"/>
  <c r="C6" i="14"/>
  <c r="C8" i="14"/>
  <c r="C9" i="14"/>
  <c r="C10" i="14"/>
  <c r="C11" i="14"/>
  <c r="C12" i="14"/>
  <c r="C13" i="14"/>
  <c r="C14" i="14"/>
  <c r="C15" i="14"/>
  <c r="C16" i="14"/>
  <c r="C17" i="14"/>
  <c r="C18" i="14"/>
  <c r="C19" i="14"/>
  <c r="C20" i="14"/>
  <c r="C21" i="14"/>
  <c r="C22" i="14"/>
  <c r="C23" i="14"/>
  <c r="C24" i="14"/>
  <c r="C25" i="14"/>
  <c r="C26" i="14"/>
  <c r="C27" i="14"/>
  <c r="C28" i="14"/>
  <c r="C29" i="14"/>
  <c r="C30" i="14"/>
  <c r="C31" i="14"/>
  <c r="C7" i="14"/>
  <c r="F5" i="8" l="1"/>
  <c r="B6" i="14" l="1"/>
  <c r="B7" i="14" s="1"/>
  <c r="B8" i="14" s="1"/>
  <c r="B9" i="14" s="1"/>
  <c r="B10" i="14" s="1"/>
  <c r="B11" i="14" s="1"/>
  <c r="B12" i="14" s="1"/>
  <c r="B13" i="14" s="1"/>
  <c r="B14" i="14" s="1"/>
  <c r="B15" i="14" s="1"/>
  <c r="B16" i="14" s="1"/>
  <c r="B17" i="14" s="1"/>
  <c r="B18" i="14" s="1"/>
  <c r="B19" i="14" s="1"/>
  <c r="B20" i="14" s="1"/>
  <c r="B21" i="14" s="1"/>
  <c r="B22" i="14" s="1"/>
  <c r="B23" i="14" s="1"/>
  <c r="B24" i="14" s="1"/>
  <c r="B25" i="14" s="1"/>
  <c r="B26" i="14" s="1"/>
  <c r="B27" i="14" s="1"/>
  <c r="B28" i="14" s="1"/>
  <c r="B29" i="14" s="1"/>
  <c r="B30" i="14" s="1"/>
  <c r="B31" i="14" s="1"/>
  <c r="E32" i="2" l="1"/>
  <c r="E31" i="2"/>
  <c r="C6" i="8" l="1"/>
  <c r="C7" i="8"/>
  <c r="C8" i="8"/>
  <c r="C9" i="8"/>
  <c r="C10" i="8"/>
  <c r="C11" i="8"/>
  <c r="C12" i="8"/>
  <c r="C13" i="8"/>
  <c r="C14" i="8"/>
  <c r="C15" i="8"/>
  <c r="C16" i="8"/>
  <c r="C17" i="8"/>
  <c r="C18" i="8"/>
  <c r="C19" i="8"/>
  <c r="C20" i="8"/>
  <c r="C21" i="8"/>
  <c r="C22" i="8"/>
  <c r="C23" i="8"/>
  <c r="C24" i="8"/>
  <c r="C25" i="8"/>
  <c r="C26" i="8"/>
  <c r="C27" i="8"/>
  <c r="C28" i="8"/>
  <c r="C29" i="8"/>
  <c r="C30" i="8"/>
  <c r="C31" i="8"/>
  <c r="C32" i="8"/>
  <c r="C5" i="8"/>
  <c r="L8" i="6" l="1"/>
  <c r="L7" i="6"/>
  <c r="L6" i="6"/>
  <c r="L5" i="6"/>
  <c r="L4" i="6"/>
  <c r="O11" i="2"/>
  <c r="O10" i="2"/>
  <c r="O9" i="2"/>
  <c r="O8" i="2"/>
  <c r="O7" i="2"/>
  <c r="E6" i="8" l="1"/>
  <c r="E7" i="8"/>
  <c r="E8" i="8"/>
  <c r="E9" i="8"/>
  <c r="E10" i="8"/>
  <c r="E11" i="8"/>
  <c r="E12" i="8"/>
  <c r="E13" i="8"/>
  <c r="E14" i="8"/>
  <c r="E15" i="8"/>
  <c r="E16" i="8"/>
  <c r="E17" i="8"/>
  <c r="E18" i="8"/>
  <c r="E19" i="8"/>
  <c r="E20" i="8"/>
  <c r="E21" i="8"/>
  <c r="E22" i="8"/>
  <c r="E23" i="8"/>
  <c r="E24" i="8"/>
  <c r="E25" i="8"/>
  <c r="E26" i="8"/>
  <c r="E27" i="8"/>
  <c r="E28" i="8"/>
  <c r="E29" i="8"/>
  <c r="E30" i="8"/>
  <c r="E31" i="8"/>
  <c r="E32" i="8"/>
  <c r="E5" i="8"/>
  <c r="P12" i="9" s="1"/>
  <c r="N4" i="8" s="1"/>
  <c r="Y21" i="6"/>
  <c r="B7" i="6" l="1"/>
  <c r="L11" i="2"/>
  <c r="AA25" i="6" l="1"/>
  <c r="AA26" i="6"/>
  <c r="AA27" i="6"/>
  <c r="AA28" i="6"/>
  <c r="AA29" i="6"/>
  <c r="AA30" i="6"/>
  <c r="AA31" i="6"/>
  <c r="AA32" i="6"/>
  <c r="AA33" i="6"/>
  <c r="AA34" i="6"/>
  <c r="AA35" i="6"/>
  <c r="AA36" i="6"/>
  <c r="AA37" i="6"/>
  <c r="AA38" i="6"/>
  <c r="AA39" i="6"/>
  <c r="AA40" i="6"/>
  <c r="AA41" i="6"/>
  <c r="AA42" i="6"/>
  <c r="AA43" i="6"/>
  <c r="AA44" i="6"/>
  <c r="AA45" i="6"/>
  <c r="AA46" i="6"/>
  <c r="AA47" i="6"/>
  <c r="AA48" i="6"/>
  <c r="AA49" i="6"/>
  <c r="AA50" i="6"/>
  <c r="AA51" i="6"/>
  <c r="AA24" i="6"/>
  <c r="F37" i="2"/>
  <c r="D7" i="6" l="1"/>
  <c r="M3" i="9" s="1"/>
  <c r="L3" i="9"/>
  <c r="H34" i="6"/>
  <c r="H35" i="6"/>
  <c r="H36" i="6"/>
  <c r="H37" i="6"/>
  <c r="H39" i="6"/>
  <c r="H40" i="6"/>
  <c r="H41" i="6"/>
  <c r="H42" i="6"/>
  <c r="H43" i="6"/>
  <c r="H44" i="6"/>
  <c r="H45" i="6"/>
  <c r="H46" i="6"/>
  <c r="H47" i="6"/>
  <c r="H48" i="6"/>
  <c r="H49" i="6"/>
  <c r="H50" i="6"/>
  <c r="H51" i="6"/>
  <c r="G34" i="6"/>
  <c r="G35" i="6"/>
  <c r="G36" i="6"/>
  <c r="G37" i="6"/>
  <c r="G38" i="6"/>
  <c r="H38" i="6" s="1"/>
  <c r="G39" i="6"/>
  <c r="G40" i="6"/>
  <c r="G41" i="6"/>
  <c r="G42" i="6"/>
  <c r="G43" i="6"/>
  <c r="G44" i="6"/>
  <c r="G45" i="6"/>
  <c r="G46" i="6"/>
  <c r="G47" i="6"/>
  <c r="G48" i="6"/>
  <c r="G49" i="6"/>
  <c r="G50" i="6"/>
  <c r="G51" i="6"/>
  <c r="H21" i="6"/>
  <c r="U21" i="6"/>
  <c r="U34" i="6"/>
  <c r="U35" i="6"/>
  <c r="U36" i="6"/>
  <c r="U37" i="6"/>
  <c r="U39" i="6"/>
  <c r="U40" i="6"/>
  <c r="U41" i="6"/>
  <c r="U42" i="6"/>
  <c r="U43" i="6"/>
  <c r="U44" i="6"/>
  <c r="U45" i="6"/>
  <c r="U46" i="6"/>
  <c r="U47" i="6"/>
  <c r="U48" i="6"/>
  <c r="U49" i="6"/>
  <c r="U50" i="6"/>
  <c r="U51" i="6"/>
  <c r="F53" i="6"/>
  <c r="AA6" i="9" s="1"/>
  <c r="I53" i="6"/>
  <c r="AA7" i="9" s="1"/>
  <c r="J53" i="6"/>
  <c r="J54" i="6" s="1"/>
  <c r="K53" i="6"/>
  <c r="K54" i="6" s="1"/>
  <c r="L53" i="6"/>
  <c r="L54" i="6" s="1"/>
  <c r="M53" i="6"/>
  <c r="M54" i="6" s="1"/>
  <c r="O53" i="6"/>
  <c r="O54" i="6" s="1"/>
  <c r="P53" i="6"/>
  <c r="P54" i="6" s="1"/>
  <c r="Q53" i="6"/>
  <c r="Q54" i="6" s="1"/>
  <c r="R53" i="6"/>
  <c r="R54" i="6" s="1"/>
  <c r="E53" i="6"/>
  <c r="AA5" i="9" s="1"/>
  <c r="D6" i="6"/>
  <c r="AC3" i="9" s="1"/>
  <c r="D9" i="6"/>
  <c r="P15" i="9" s="1"/>
  <c r="N25" i="6"/>
  <c r="N26" i="6"/>
  <c r="N27" i="6"/>
  <c r="N28" i="6"/>
  <c r="N29" i="6"/>
  <c r="N30" i="6"/>
  <c r="S30" i="6"/>
  <c r="N31" i="6"/>
  <c r="N32" i="6"/>
  <c r="N33" i="6"/>
  <c r="N34" i="6"/>
  <c r="S34" i="6"/>
  <c r="N35" i="6"/>
  <c r="N36" i="6"/>
  <c r="N37" i="6"/>
  <c r="N38" i="6"/>
  <c r="N39" i="6"/>
  <c r="N40" i="6"/>
  <c r="N41" i="6"/>
  <c r="N42" i="6"/>
  <c r="S42" i="6"/>
  <c r="N43" i="6"/>
  <c r="N44" i="6"/>
  <c r="N45" i="6"/>
  <c r="N46" i="6"/>
  <c r="N47" i="6"/>
  <c r="N48" i="6"/>
  <c r="N49" i="6"/>
  <c r="N50" i="6"/>
  <c r="S50" i="6"/>
  <c r="N51" i="6"/>
  <c r="S25" i="6"/>
  <c r="S26" i="6"/>
  <c r="S27" i="6"/>
  <c r="S28" i="6"/>
  <c r="S29" i="6"/>
  <c r="S31" i="6"/>
  <c r="S32" i="6"/>
  <c r="S33" i="6"/>
  <c r="S35" i="6"/>
  <c r="S36" i="6"/>
  <c r="S37" i="6"/>
  <c r="S38" i="6"/>
  <c r="S39" i="6"/>
  <c r="S40" i="6"/>
  <c r="S41" i="6"/>
  <c r="S43" i="6"/>
  <c r="S44" i="6"/>
  <c r="S45" i="6"/>
  <c r="S46" i="6"/>
  <c r="S47" i="6"/>
  <c r="S48" i="6"/>
  <c r="S49" i="6"/>
  <c r="S51" i="6"/>
  <c r="S24" i="6"/>
  <c r="X21" i="6"/>
  <c r="B25" i="6"/>
  <c r="B26" i="6" s="1"/>
  <c r="H5" i="8"/>
  <c r="F34" i="8" s="1"/>
  <c r="G5" i="8"/>
  <c r="C34" i="2"/>
  <c r="E24" i="2" s="1"/>
  <c r="D31" i="2"/>
  <c r="J13" i="6" s="1"/>
  <c r="AD8" i="9" s="1"/>
  <c r="D32" i="2"/>
  <c r="O13" i="6" s="1"/>
  <c r="AD9" i="9" s="1"/>
  <c r="C38" i="2"/>
  <c r="N21" i="2"/>
  <c r="N20" i="2"/>
  <c r="N19" i="2"/>
  <c r="N18" i="2"/>
  <c r="G32" i="2"/>
  <c r="G31" i="2"/>
  <c r="D11" i="2"/>
  <c r="D17" i="2"/>
  <c r="F13" i="6" s="1"/>
  <c r="AD6" i="9" s="1"/>
  <c r="D24" i="2"/>
  <c r="I13" i="6" s="1"/>
  <c r="AD7" i="9" s="1"/>
  <c r="K19" i="2"/>
  <c r="K20" i="2"/>
  <c r="K21" i="2"/>
  <c r="K18" i="2"/>
  <c r="K13" i="2"/>
  <c r="K14" i="2"/>
  <c r="K15" i="2"/>
  <c r="K12" i="2"/>
  <c r="K25" i="2"/>
  <c r="K24" i="2" s="1"/>
  <c r="K26" i="2"/>
  <c r="K27" i="2"/>
  <c r="K28" i="2"/>
  <c r="I5" i="8" l="1"/>
  <c r="K5" i="8" s="1"/>
  <c r="G36" i="9"/>
  <c r="T39" i="6"/>
  <c r="T37" i="6"/>
  <c r="T48" i="6"/>
  <c r="T38" i="6"/>
  <c r="U38" i="6" s="1"/>
  <c r="X38" i="6" s="1"/>
  <c r="L17" i="2"/>
  <c r="L30" i="2" s="1"/>
  <c r="X36" i="6"/>
  <c r="E17" i="2"/>
  <c r="G17" i="2" s="1"/>
  <c r="E30" i="2"/>
  <c r="G30" i="2" s="1"/>
  <c r="X37" i="6"/>
  <c r="X48" i="6"/>
  <c r="X40" i="6"/>
  <c r="E11" i="2"/>
  <c r="G11" i="2" s="1"/>
  <c r="T41" i="6"/>
  <c r="X51" i="6"/>
  <c r="X47" i="6"/>
  <c r="X43" i="6"/>
  <c r="X39" i="6"/>
  <c r="X35" i="6"/>
  <c r="T35" i="6"/>
  <c r="X50" i="6"/>
  <c r="X46" i="6"/>
  <c r="X49" i="6"/>
  <c r="X45" i="6"/>
  <c r="X41" i="6"/>
  <c r="T50" i="6"/>
  <c r="T46" i="6"/>
  <c r="F24" i="2"/>
  <c r="E27" i="2" s="1"/>
  <c r="G27" i="2" s="1"/>
  <c r="G24" i="2"/>
  <c r="T44" i="6"/>
  <c r="T51" i="6"/>
  <c r="T43" i="6"/>
  <c r="N53" i="6"/>
  <c r="T42" i="6"/>
  <c r="T49" i="6"/>
  <c r="T40" i="6"/>
  <c r="X42" i="6"/>
  <c r="X34" i="6"/>
  <c r="T34" i="6"/>
  <c r="X44" i="6"/>
  <c r="S53" i="6"/>
  <c r="T45" i="6"/>
  <c r="T47" i="6"/>
  <c r="T36" i="6"/>
  <c r="N3" i="9"/>
  <c r="C9" i="9" s="1"/>
  <c r="B27" i="6"/>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I22" i="6"/>
  <c r="F22" i="6"/>
  <c r="D30" i="2"/>
  <c r="E13" i="6"/>
  <c r="AD5" i="9" s="1"/>
  <c r="K14" i="8" l="1"/>
  <c r="K8" i="8"/>
  <c r="K17" i="8"/>
  <c r="K11" i="8"/>
  <c r="F30" i="2"/>
  <c r="Y34" i="6"/>
  <c r="Y49" i="6"/>
  <c r="Y35" i="6"/>
  <c r="Y51" i="6"/>
  <c r="Y42" i="6"/>
  <c r="Y46" i="6"/>
  <c r="Y39" i="6"/>
  <c r="Y40" i="6"/>
  <c r="Y44" i="6"/>
  <c r="Y38" i="6"/>
  <c r="Y41" i="6"/>
  <c r="Y50" i="6"/>
  <c r="Y43" i="6"/>
  <c r="Y48" i="6"/>
  <c r="Y45" i="6"/>
  <c r="Y47" i="6"/>
  <c r="Y37" i="6"/>
  <c r="Y36" i="6"/>
  <c r="F11" i="2"/>
  <c r="E13" i="2" s="1"/>
  <c r="G13" i="2" s="1"/>
  <c r="I14" i="6"/>
  <c r="E28" i="2"/>
  <c r="G28" i="2" s="1"/>
  <c r="E26" i="2"/>
  <c r="G26" i="2" s="1"/>
  <c r="W48" i="6"/>
  <c r="W39" i="6"/>
  <c r="E25" i="2"/>
  <c r="G25" i="2" s="1"/>
  <c r="W38" i="6"/>
  <c r="W37" i="6"/>
  <c r="AA9" i="9"/>
  <c r="AA8" i="9"/>
  <c r="I54" i="6"/>
  <c r="W45" i="6"/>
  <c r="W42" i="6"/>
  <c r="F54" i="6"/>
  <c r="W36" i="6"/>
  <c r="W46" i="6"/>
  <c r="W50" i="6"/>
  <c r="W47" i="6"/>
  <c r="W40" i="6"/>
  <c r="W43" i="6"/>
  <c r="W34" i="6"/>
  <c r="W49" i="6"/>
  <c r="W51" i="6"/>
  <c r="W41" i="6"/>
  <c r="W44" i="6"/>
  <c r="W35" i="6"/>
  <c r="F17" i="2"/>
  <c r="S54" i="6"/>
  <c r="L14" i="8"/>
  <c r="M8" i="9" s="1"/>
  <c r="L5" i="8"/>
  <c r="M5" i="9" s="1"/>
  <c r="N54" i="6"/>
  <c r="J14" i="6"/>
  <c r="O14" i="6"/>
  <c r="E22" i="6"/>
  <c r="L8" i="8"/>
  <c r="M6" i="9" s="1"/>
  <c r="L17" i="8"/>
  <c r="M9" i="9" s="1"/>
  <c r="L11" i="8"/>
  <c r="M7" i="9" s="1"/>
  <c r="E14" i="6" l="1"/>
  <c r="R7" i="9"/>
  <c r="AE7" i="9" s="1"/>
  <c r="T32" i="6"/>
  <c r="T33" i="6"/>
  <c r="T31" i="6"/>
  <c r="E15" i="2"/>
  <c r="G15" i="2" s="1"/>
  <c r="E12" i="2"/>
  <c r="G12" i="2" s="1"/>
  <c r="E14" i="2"/>
  <c r="G14" i="2" s="1"/>
  <c r="I15" i="6"/>
  <c r="T30" i="6"/>
  <c r="T27" i="6"/>
  <c r="T29" i="6"/>
  <c r="D20" i="8"/>
  <c r="D30" i="8"/>
  <c r="D15" i="8"/>
  <c r="D28" i="8"/>
  <c r="D24" i="8"/>
  <c r="D27" i="8"/>
  <c r="D17" i="8"/>
  <c r="D31" i="8"/>
  <c r="D23" i="8"/>
  <c r="D32" i="8"/>
  <c r="D18" i="8"/>
  <c r="D26" i="8"/>
  <c r="D29" i="8"/>
  <c r="D22" i="8"/>
  <c r="D21" i="8"/>
  <c r="D19" i="8"/>
  <c r="D25" i="8"/>
  <c r="D16" i="8"/>
  <c r="I52" i="6"/>
  <c r="H52" i="6"/>
  <c r="E54" i="6"/>
  <c r="F52" i="6"/>
  <c r="G52" i="6"/>
  <c r="T24" i="6"/>
  <c r="R5" i="9"/>
  <c r="N5" i="9" s="1"/>
  <c r="M18" i="9" s="1"/>
  <c r="E20" i="2"/>
  <c r="G20" i="2" s="1"/>
  <c r="E21" i="2"/>
  <c r="G21" i="2" s="1"/>
  <c r="E18" i="2"/>
  <c r="G18" i="2" s="1"/>
  <c r="F14" i="6"/>
  <c r="G30" i="6" s="1"/>
  <c r="E19" i="2"/>
  <c r="G19" i="2" s="1"/>
  <c r="E15" i="6"/>
  <c r="T25" i="6"/>
  <c r="T26" i="6"/>
  <c r="N7" i="9"/>
  <c r="O15" i="6"/>
  <c r="R9" i="9"/>
  <c r="R8" i="9"/>
  <c r="J15" i="6"/>
  <c r="T28" i="6"/>
  <c r="AB7" i="9" l="1"/>
  <c r="O20" i="9" s="1"/>
  <c r="G31" i="6"/>
  <c r="G33" i="6"/>
  <c r="G32" i="6"/>
  <c r="W30" i="6"/>
  <c r="G27" i="6"/>
  <c r="G28" i="6"/>
  <c r="G26" i="6"/>
  <c r="G29" i="6"/>
  <c r="AB5" i="9"/>
  <c r="O18" i="9" s="1"/>
  <c r="AE5" i="9"/>
  <c r="Q5" i="9" s="1"/>
  <c r="N18" i="9" s="1"/>
  <c r="G25" i="6"/>
  <c r="E52" i="6"/>
  <c r="F15" i="6"/>
  <c r="G24" i="6"/>
  <c r="R6" i="9"/>
  <c r="U15" i="6"/>
  <c r="U17" i="6" s="1"/>
  <c r="T17" i="6" s="1"/>
  <c r="U28" i="6" s="1"/>
  <c r="AE8" i="9"/>
  <c r="AB8" i="9"/>
  <c r="N9" i="9"/>
  <c r="M22" i="9" s="1"/>
  <c r="AB9" i="9"/>
  <c r="O22" i="9" s="1"/>
  <c r="AE9" i="9"/>
  <c r="R20" i="9"/>
  <c r="T15" i="6"/>
  <c r="T22" i="6" s="1"/>
  <c r="P7" i="9"/>
  <c r="Q7" i="9"/>
  <c r="N20" i="9" s="1"/>
  <c r="M20" i="9"/>
  <c r="N8" i="9"/>
  <c r="M21" i="9" s="1"/>
  <c r="T53" i="6"/>
  <c r="AC7" i="9" l="1"/>
  <c r="Q20" i="9" s="1"/>
  <c r="W33" i="6"/>
  <c r="U33" i="6"/>
  <c r="W32" i="6"/>
  <c r="W31" i="6"/>
  <c r="U32" i="6"/>
  <c r="U31" i="6"/>
  <c r="W26" i="6"/>
  <c r="U30" i="6"/>
  <c r="R18" i="9"/>
  <c r="W29" i="6"/>
  <c r="U29" i="6"/>
  <c r="W27" i="6"/>
  <c r="W28" i="6"/>
  <c r="AC9" i="9"/>
  <c r="Q22" i="9" s="1"/>
  <c r="AC5" i="9"/>
  <c r="Q18" i="9" s="1"/>
  <c r="W25" i="6"/>
  <c r="T54" i="6"/>
  <c r="W24" i="6"/>
  <c r="AE6" i="9"/>
  <c r="P5" i="9"/>
  <c r="P11" i="9" s="1"/>
  <c r="AB6" i="9"/>
  <c r="O19" i="9" s="1"/>
  <c r="N6" i="9"/>
  <c r="M19" i="9" s="1"/>
  <c r="U22" i="6"/>
  <c r="H15" i="6"/>
  <c r="G53" i="6"/>
  <c r="G54" i="6" s="1"/>
  <c r="AC8" i="9"/>
  <c r="Q21" i="9" s="1"/>
  <c r="AB10" i="9"/>
  <c r="AE10" i="9"/>
  <c r="AE11" i="9" s="1"/>
  <c r="Q9" i="9"/>
  <c r="N22" i="9" s="1"/>
  <c r="R22" i="9"/>
  <c r="R21" i="9"/>
  <c r="Q8" i="9"/>
  <c r="N21" i="9" s="1"/>
  <c r="O21" i="9"/>
  <c r="U24" i="6"/>
  <c r="U26" i="6"/>
  <c r="U27" i="6"/>
  <c r="U25" i="6"/>
  <c r="W53" i="6" l="1"/>
  <c r="H17" i="6"/>
  <c r="G17" i="6" s="1"/>
  <c r="X15" i="6"/>
  <c r="H22" i="6"/>
  <c r="R19" i="9"/>
  <c r="AC6" i="9"/>
  <c r="Q19" i="9" s="1"/>
  <c r="Q6" i="9"/>
  <c r="N19" i="9" s="1"/>
  <c r="U53" i="6"/>
  <c r="U54" i="6" s="1"/>
  <c r="H30" i="6" l="1"/>
  <c r="X30" i="6" s="1"/>
  <c r="H33" i="6"/>
  <c r="X33" i="6" s="1"/>
  <c r="H31" i="6"/>
  <c r="X31" i="6" s="1"/>
  <c r="H32" i="6"/>
  <c r="X32" i="6" s="1"/>
  <c r="H29" i="6"/>
  <c r="X29" i="6" s="1"/>
  <c r="H28" i="6"/>
  <c r="X28" i="6" s="1"/>
  <c r="H26" i="6"/>
  <c r="X26" i="6" s="1"/>
  <c r="H27" i="6"/>
  <c r="X27" i="6" s="1"/>
  <c r="Z4" i="6"/>
  <c r="W22" i="6"/>
  <c r="W54" i="6" s="1"/>
  <c r="X17" i="6"/>
  <c r="Z8" i="6" s="1"/>
  <c r="X7" i="6" s="1"/>
  <c r="X4" i="6" s="1"/>
  <c r="Z5" i="6" s="1"/>
  <c r="X22" i="6"/>
  <c r="H25" i="6"/>
  <c r="X25" i="6" s="1"/>
  <c r="H24" i="6"/>
  <c r="Y32" i="6" l="1"/>
  <c r="D13" i="8" s="1"/>
  <c r="Y29" i="6"/>
  <c r="Y25" i="6"/>
  <c r="Y27" i="6"/>
  <c r="Y26" i="6"/>
  <c r="X6" i="6"/>
  <c r="Z7" i="6" s="1"/>
  <c r="Y30" i="6" s="1"/>
  <c r="H53" i="6"/>
  <c r="H54" i="6" s="1"/>
  <c r="X24" i="6"/>
  <c r="X5" i="6"/>
  <c r="Z6" i="6" s="1"/>
  <c r="Y33" i="6" l="1"/>
  <c r="D14" i="8" s="1"/>
  <c r="Y31" i="6"/>
  <c r="D12" i="8" s="1"/>
  <c r="D11" i="8"/>
  <c r="Y28" i="6"/>
  <c r="Y24" i="6"/>
  <c r="D10" i="8"/>
  <c r="X53" i="6"/>
  <c r="D8" i="8" l="1"/>
  <c r="D7" i="8"/>
  <c r="D9" i="8"/>
  <c r="D6" i="8"/>
  <c r="X54" i="6"/>
  <c r="D5" i="8"/>
  <c r="P13" i="9" l="1"/>
  <c r="O12" i="2"/>
  <c r="L9" i="6"/>
  <c r="P8" i="2" l="1"/>
  <c r="P12" i="2"/>
  <c r="P10" i="2"/>
  <c r="O7" i="6" s="1"/>
  <c r="P9" i="2"/>
  <c r="O6" i="6" s="1"/>
  <c r="P7" i="2"/>
  <c r="P11" i="2"/>
  <c r="O8" i="6" s="1"/>
  <c r="N3" i="8"/>
  <c r="O5" i="6"/>
  <c r="O9" i="6" l="1"/>
  <c r="O4" i="6"/>
</calcChain>
</file>

<file path=xl/comments1.xml><?xml version="1.0" encoding="utf-8"?>
<comments xmlns="http://schemas.openxmlformats.org/spreadsheetml/2006/main">
  <authors>
    <author>Peter Simon</author>
  </authors>
  <commentList>
    <comment ref="H8" authorId="0" shapeId="0">
      <text>
        <r>
          <rPr>
            <b/>
            <sz val="9"/>
            <color indexed="81"/>
            <rFont val="Calibri"/>
            <family val="2"/>
          </rPr>
          <t>Mit den Spalten F, G und H können Sie den Cut Score entsprechend dem Anspruchsniveau der Aufgaben einstellen. 
Der mittlere Schwierigkeitsgrad liefert standardmäßig 0,6. Leicht bedeutet 0,7, schwierig 0,5.
Wenn Sie mehr schwierige Aufgaben verwenden, sinkt die Untergrenze der für eine Notenstufe erforderlichen Punktezahl im Beurteilungsblatt, bei eher leichten Aufgaben steigt sie.</t>
        </r>
        <r>
          <rPr>
            <sz val="9"/>
            <color indexed="81"/>
            <rFont val="Calibri"/>
            <family val="2"/>
          </rPr>
          <t xml:space="preserve">
</t>
        </r>
      </text>
    </comment>
    <comment ref="I12" authorId="0" shapeId="0">
      <text>
        <r>
          <rPr>
            <b/>
            <sz val="9"/>
            <color indexed="81"/>
            <rFont val="Calibri"/>
            <family val="2"/>
          </rPr>
          <t>Bitte tragen Sie die Zahl 1 in dieses Feld ein, wenn Sie die Aufgabe als für den aktuellen Lernstand Ihrer Gruppe angemessen   einstufen.</t>
        </r>
        <r>
          <rPr>
            <sz val="9"/>
            <color indexed="81"/>
            <rFont val="Calibri"/>
            <family val="2"/>
          </rPr>
          <t xml:space="preserve">
 </t>
        </r>
      </text>
    </comment>
    <comment ref="J12" authorId="0" shapeId="0">
      <text>
        <r>
          <rPr>
            <b/>
            <sz val="9"/>
            <color indexed="81"/>
            <rFont val="Calibri"/>
            <family val="2"/>
          </rPr>
          <t>Bitte tragen Sie die Zahl 1 in dieses Feld ein, wenn Sie die Aufgabe als für den aktuellen Lernstand Ihrer Gruppe eher anspruchsvoll  einstufen.</t>
        </r>
        <r>
          <rPr>
            <sz val="9"/>
            <color indexed="81"/>
            <rFont val="Calibri"/>
            <family val="2"/>
          </rPr>
          <t xml:space="preserve">
</t>
        </r>
      </text>
    </comment>
  </commentList>
</comments>
</file>

<file path=xl/sharedStrings.xml><?xml version="1.0" encoding="utf-8"?>
<sst xmlns="http://schemas.openxmlformats.org/spreadsheetml/2006/main" count="204" uniqueCount="117">
  <si>
    <t>Aufgabenbereiche</t>
  </si>
  <si>
    <t>PUNKTE gesamt</t>
  </si>
  <si>
    <t xml:space="preserve">  Kompetenzbereiche</t>
  </si>
  <si>
    <t xml:space="preserve">  rezeptiver
  Kompetenzbereich</t>
  </si>
  <si>
    <t xml:space="preserve">  produktiver
  Kompetenzbereich</t>
  </si>
  <si>
    <t>Lesen</t>
  </si>
  <si>
    <t>Hören</t>
  </si>
  <si>
    <t>Schreiben 1</t>
  </si>
  <si>
    <t>Schreiben 2</t>
  </si>
  <si>
    <t>Items</t>
  </si>
  <si>
    <t>cut score</t>
  </si>
  <si>
    <t>Sehr gut</t>
  </si>
  <si>
    <t>Gut</t>
  </si>
  <si>
    <t>Befriedigend</t>
  </si>
  <si>
    <t>Genügend</t>
  </si>
  <si>
    <t>mittel</t>
  </si>
  <si>
    <t>Klasse</t>
  </si>
  <si>
    <t xml:space="preserve">Nr. </t>
  </si>
  <si>
    <t>Name</t>
  </si>
  <si>
    <t>Vorname</t>
  </si>
  <si>
    <t>SiK</t>
  </si>
  <si>
    <t>EA</t>
  </si>
  <si>
    <t>A&amp;L</t>
  </si>
  <si>
    <t>SSM</t>
  </si>
  <si>
    <t>SR</t>
  </si>
  <si>
    <t>Produktiv</t>
  </si>
  <si>
    <t>Note</t>
  </si>
  <si>
    <t>Rezeptiv gewichtet</t>
  </si>
  <si>
    <t>Produktiv gewichtet</t>
  </si>
  <si>
    <t>Gesamt gewichtet</t>
  </si>
  <si>
    <t>Hörtext 1</t>
  </si>
  <si>
    <t>Schwierigkeit</t>
  </si>
  <si>
    <t>Hörtext 2</t>
  </si>
  <si>
    <t>Hörtext 3</t>
  </si>
  <si>
    <t>Hörtext 4</t>
  </si>
  <si>
    <t>Lesetext 1</t>
  </si>
  <si>
    <t>Lesetext 2</t>
  </si>
  <si>
    <t>Lesetext 3</t>
  </si>
  <si>
    <t>Lesetext 4</t>
  </si>
  <si>
    <t>LESEN</t>
  </si>
  <si>
    <t>HÖREN</t>
  </si>
  <si>
    <t>SiK 1</t>
  </si>
  <si>
    <t>SiK 2</t>
  </si>
  <si>
    <t>SiK 3</t>
  </si>
  <si>
    <t>Schreibauftrag 1</t>
  </si>
  <si>
    <t>Schreibauftrag 2</t>
  </si>
  <si>
    <t>Punkte</t>
  </si>
  <si>
    <t>schwierig</t>
  </si>
  <si>
    <t>SCHREIBEN</t>
  </si>
  <si>
    <t>SPRACHE IM KONTEXT</t>
  </si>
  <si>
    <t>Nicht genügend</t>
  </si>
  <si>
    <t>Struktur</t>
  </si>
  <si>
    <t>%</t>
  </si>
  <si>
    <t>Min</t>
  </si>
  <si>
    <t>RP-Modell</t>
  </si>
  <si>
    <t>rezeptiv</t>
  </si>
  <si>
    <t>produktiv</t>
  </si>
  <si>
    <t>Summe</t>
  </si>
  <si>
    <t>Beurteilung</t>
  </si>
  <si>
    <t>Σ</t>
  </si>
  <si>
    <t xml:space="preserve">Gesamt </t>
  </si>
  <si>
    <t>Fach</t>
  </si>
  <si>
    <t>SiK 4</t>
  </si>
  <si>
    <t>Beurteilungsmodell</t>
  </si>
  <si>
    <t>maximale Punkte</t>
  </si>
  <si>
    <t>minimale Punkte</t>
  </si>
  <si>
    <t>Anzahl der Items</t>
  </si>
  <si>
    <t>Klassenergebnis</t>
  </si>
  <si>
    <t>Häufigkeit</t>
  </si>
  <si>
    <t>Schülerzahl</t>
  </si>
  <si>
    <t>in %</t>
  </si>
  <si>
    <t xml:space="preserve">Mittelwerte </t>
  </si>
  <si>
    <t>Notenverteilung</t>
  </si>
  <si>
    <t>SIK</t>
  </si>
  <si>
    <t>Maximum</t>
  </si>
  <si>
    <t>Schüler/in</t>
  </si>
  <si>
    <t>Klassenmittel</t>
  </si>
  <si>
    <t>Einzelauswertungen</t>
  </si>
  <si>
    <t>Lösungsquote nach Kompetenzbereichen  in %</t>
  </si>
  <si>
    <t>Gesamtverrechnung</t>
  </si>
  <si>
    <t>Wertigkeit</t>
  </si>
  <si>
    <t>Anzahl der Teilbereiche</t>
  </si>
  <si>
    <t>gewichtete 
Punkte</t>
  </si>
  <si>
    <t>gew.
Punkte</t>
  </si>
  <si>
    <t>LqK
 in %</t>
  </si>
  <si>
    <t>LqK 
in %</t>
  </si>
  <si>
    <t>Lösungsquote nach Kompetenzbereichen in % (LqK in %)</t>
  </si>
  <si>
    <t>Datum</t>
  </si>
  <si>
    <t>Wertigkeit
der Items</t>
  </si>
  <si>
    <t>Referenz</t>
  </si>
  <si>
    <t>Anzahl Schüler</t>
  </si>
  <si>
    <t>AktuelleAuswahl</t>
  </si>
  <si>
    <t>Zeile im Beurteilungsblatt</t>
  </si>
  <si>
    <t>Position_Lesen</t>
  </si>
  <si>
    <t>Position Hören</t>
  </si>
  <si>
    <t>Position_SiK</t>
  </si>
  <si>
    <t>Position_Schreiben1</t>
  </si>
  <si>
    <t>Position_Schreiben2</t>
  </si>
  <si>
    <t>Wert</t>
  </si>
  <si>
    <t>Notenvorschlag</t>
  </si>
  <si>
    <t>Planungsblatt</t>
  </si>
  <si>
    <t>Punkte pro Kompetenzbereich</t>
  </si>
  <si>
    <t>NOTE</t>
  </si>
  <si>
    <t>w/m</t>
  </si>
  <si>
    <t>Dauer in Minuten</t>
  </si>
  <si>
    <t>L-Eingabe</t>
  </si>
  <si>
    <t>N-Vorschlag</t>
  </si>
  <si>
    <t>Punkteskala</t>
  </si>
  <si>
    <t>Note
eintragen</t>
  </si>
  <si>
    <t>Reifeprüfung</t>
  </si>
  <si>
    <t xml:space="preserve"> bis ≤</t>
  </si>
  <si>
    <t>bis &lt;</t>
  </si>
  <si>
    <t>verbale Begründung</t>
  </si>
  <si>
    <t>Verbale Begründung (für Reifeprüfung verpflichtend)</t>
  </si>
  <si>
    <r>
      <rPr>
        <b/>
        <sz val="12"/>
        <color theme="1"/>
        <rFont val="Calibri"/>
        <family val="2"/>
        <scheme val="minor"/>
      </rPr>
      <t xml:space="preserve">Hinweis: </t>
    </r>
    <r>
      <rPr>
        <sz val="12"/>
        <color theme="1"/>
        <rFont val="Calibri"/>
        <family val="2"/>
        <scheme val="minor"/>
      </rPr>
      <t xml:space="preserve">
Auswahl einzelner Schüler/innen über die Katalognummer im Auswahlfeld</t>
    </r>
  </si>
  <si>
    <r>
      <rPr>
        <b/>
        <sz val="12"/>
        <color theme="1"/>
        <rFont val="Calibri"/>
        <family val="2"/>
        <scheme val="minor"/>
      </rPr>
      <t xml:space="preserve">Hinweis:
</t>
    </r>
    <r>
      <rPr>
        <sz val="12"/>
        <color theme="1"/>
        <rFont val="Calibri"/>
        <family val="2"/>
        <scheme val="minor"/>
      </rPr>
      <t xml:space="preserve">
Tragen Sie die verbalen Begründungen im Tabellenblatt 4 "Begründungen" ein. Diese werden automatisch nach Auswahl der Katalognummer in das nebenstehende Feld übertragen</t>
    </r>
  </si>
  <si>
    <t>Summe
gew. Punkte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</si>
</sst>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 #,##0.00_-;_-* &quot;-&quot;??_-;_-@_-"/>
    <numFmt numFmtId="165" formatCode="_-* #,##0.0_-;\-* #,##0.0_-;_-* &quot;-&quot;??_-;_-@_-"/>
    <numFmt numFmtId="166" formatCode="#,##0.0_ ;\-#,##0.0\ "/>
    <numFmt numFmtId="167" formatCode="0.0"/>
    <numFmt numFmtId="168" formatCode="#,##0_ ;\-#,##0\ "/>
    <numFmt numFmtId="169" formatCode="0.0%"/>
    <numFmt numFmtId="170" formatCode="#,##0.00_ ;\-#,##0.00\ "/>
  </numFmts>
  <fonts count="4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1"/>
      <name val="Calibri"/>
      <family val="2"/>
    </font>
    <font>
      <b/>
      <sz val="9"/>
      <color indexed="81"/>
      <name val="Calibri"/>
      <family val="2"/>
    </font>
    <font>
      <b/>
      <sz val="10"/>
      <name val="Calibri"/>
      <family val="2"/>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b/>
      <sz val="10"/>
      <color theme="1"/>
      <name val="Calibri"/>
      <family val="2"/>
      <scheme val="minor"/>
    </font>
    <font>
      <sz val="9"/>
      <color theme="1"/>
      <name val="Calibri"/>
      <family val="2"/>
      <scheme val="minor"/>
    </font>
    <font>
      <i/>
      <sz val="9"/>
      <color theme="1"/>
      <name val="Calibri"/>
      <family val="2"/>
      <scheme val="minor"/>
    </font>
    <font>
      <sz val="10"/>
      <color theme="1"/>
      <name val="Calibri"/>
      <family val="2"/>
      <scheme val="minor"/>
    </font>
    <font>
      <b/>
      <sz val="8"/>
      <color theme="1"/>
      <name val="Calibri"/>
      <family val="2"/>
      <scheme val="minor"/>
    </font>
    <font>
      <sz val="12"/>
      <color theme="0"/>
      <name val="Calibri"/>
      <family val="2"/>
      <scheme val="minor"/>
    </font>
    <font>
      <b/>
      <sz val="12"/>
      <color theme="2"/>
      <name val="Calibri"/>
      <family val="2"/>
      <scheme val="minor"/>
    </font>
    <font>
      <b/>
      <i/>
      <sz val="11"/>
      <color theme="1"/>
      <name val="Calibri"/>
      <family val="2"/>
      <scheme val="minor"/>
    </font>
    <font>
      <sz val="8"/>
      <name val="Calibri"/>
      <family val="2"/>
      <scheme val="minor"/>
    </font>
    <font>
      <sz val="10"/>
      <name val="Calibri"/>
      <family val="2"/>
      <scheme val="minor"/>
    </font>
    <font>
      <sz val="8"/>
      <color theme="0" tint="-0.499984740745262"/>
      <name val="Calibri"/>
      <family val="2"/>
      <scheme val="minor"/>
    </font>
    <font>
      <b/>
      <sz val="14"/>
      <color theme="1"/>
      <name val="Calibri"/>
      <family val="2"/>
      <scheme val="minor"/>
    </font>
    <font>
      <b/>
      <sz val="16"/>
      <color theme="1"/>
      <name val="Calibri"/>
      <family val="2"/>
      <scheme val="minor"/>
    </font>
    <font>
      <sz val="10"/>
      <color theme="0"/>
      <name val="Calibri"/>
      <family val="2"/>
      <scheme val="minor"/>
    </font>
    <font>
      <sz val="12"/>
      <name val="Calibri"/>
      <family val="2"/>
      <scheme val="minor"/>
    </font>
    <font>
      <sz val="14"/>
      <color theme="1"/>
      <name val="Calibri"/>
      <family val="2"/>
      <scheme val="minor"/>
    </font>
    <font>
      <b/>
      <sz val="10"/>
      <name val="Calibri"/>
      <family val="2"/>
      <scheme val="minor"/>
    </font>
    <font>
      <sz val="8"/>
      <name val="Verdana"/>
      <family val="2"/>
    </font>
    <font>
      <sz val="8"/>
      <color theme="0"/>
      <name val="Calibri"/>
      <family val="2"/>
      <scheme val="minor"/>
    </font>
    <font>
      <sz val="11"/>
      <name val="Calibri"/>
      <family val="2"/>
      <scheme val="minor"/>
    </font>
    <font>
      <sz val="10"/>
      <color indexed="8"/>
      <name val="Calibri"/>
      <family val="2"/>
    </font>
    <font>
      <b/>
      <sz val="12"/>
      <color theme="0"/>
      <name val="Calibri"/>
      <family val="2"/>
      <scheme val="minor"/>
    </font>
    <font>
      <i/>
      <sz val="10"/>
      <color theme="1"/>
      <name val="Calibri"/>
      <family val="2"/>
      <scheme val="minor"/>
    </font>
    <font>
      <b/>
      <i/>
      <sz val="16"/>
      <color theme="1"/>
      <name val="Calibri"/>
      <family val="2"/>
      <scheme val="minor"/>
    </font>
    <font>
      <b/>
      <sz val="12"/>
      <color rgb="FFC00000"/>
      <name val="Calibri"/>
      <family val="2"/>
      <scheme val="minor"/>
    </font>
    <font>
      <b/>
      <sz val="10"/>
      <color theme="0"/>
      <name val="Calibri"/>
      <family val="2"/>
      <scheme val="minor"/>
    </font>
    <font>
      <b/>
      <sz val="8"/>
      <color theme="0"/>
      <name val="Calibri"/>
      <family val="2"/>
      <scheme val="minor"/>
    </font>
    <font>
      <i/>
      <sz val="12"/>
      <color theme="0"/>
      <name val="Calibri"/>
      <family val="2"/>
      <scheme val="minor"/>
    </font>
  </fonts>
  <fills count="19">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E4EFF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DAE4EE"/>
        <bgColor indexed="64"/>
      </patternFill>
    </fill>
    <fill>
      <patternFill patternType="solid">
        <fgColor rgb="FFF6FADE"/>
        <bgColor indexed="64"/>
      </patternFill>
    </fill>
    <fill>
      <patternFill patternType="solid">
        <fgColor theme="0"/>
        <bgColor indexed="64"/>
      </patternFill>
    </fill>
    <fill>
      <patternFill patternType="solid">
        <fgColor rgb="FFFFC000"/>
        <bgColor indexed="64"/>
      </patternFill>
    </fill>
    <fill>
      <patternFill patternType="solid">
        <fgColor theme="6" tint="0.39997558519241921"/>
        <bgColor indexed="64"/>
      </patternFill>
    </fill>
  </fills>
  <borders count="11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double">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double">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double">
        <color indexed="64"/>
      </right>
      <top style="double">
        <color indexed="64"/>
      </top>
      <bottom style="medium">
        <color indexed="64"/>
      </bottom>
      <diagonal/>
    </border>
    <border>
      <left style="double">
        <color indexed="64"/>
      </left>
      <right style="medium">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double">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double">
        <color indexed="64"/>
      </bottom>
      <diagonal/>
    </border>
    <border>
      <left style="double">
        <color indexed="64"/>
      </left>
      <right/>
      <top/>
      <bottom style="double">
        <color indexed="64"/>
      </bottom>
      <diagonal/>
    </border>
    <border>
      <left/>
      <right style="thin">
        <color indexed="64"/>
      </right>
      <top style="double">
        <color indexed="64"/>
      </top>
      <bottom/>
      <diagonal/>
    </border>
    <border>
      <left/>
      <right style="double">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double">
        <color indexed="64"/>
      </right>
      <top style="double">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medium">
        <color indexed="64"/>
      </top>
      <bottom/>
      <diagonal/>
    </border>
    <border>
      <left style="thin">
        <color indexed="64"/>
      </left>
      <right/>
      <top style="medium">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medium">
        <color indexed="64"/>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s>
  <cellStyleXfs count="3">
    <xf numFmtId="0" fontId="0" fillId="0" borderId="0"/>
    <xf numFmtId="164" fontId="10" fillId="0" borderId="0" applyFont="0" applyFill="0" applyBorder="0" applyAlignment="0" applyProtection="0"/>
    <xf numFmtId="0" fontId="10" fillId="0" borderId="0"/>
  </cellStyleXfs>
  <cellXfs count="632">
    <xf numFmtId="0" fontId="0" fillId="0" borderId="0" xfId="0"/>
    <xf numFmtId="164" fontId="10" fillId="0" borderId="0" xfId="1" applyFont="1"/>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164" fontId="17" fillId="0" borderId="0" xfId="1" applyFont="1" applyAlignment="1">
      <alignment horizontal="right" vertical="center"/>
    </xf>
    <xf numFmtId="164" fontId="17" fillId="0" borderId="0" xfId="1" applyFont="1" applyAlignment="1">
      <alignment horizontal="center" vertical="center"/>
    </xf>
    <xf numFmtId="0" fontId="0" fillId="0" borderId="0" xfId="0" applyFill="1" applyBorder="1"/>
    <xf numFmtId="164" fontId="10" fillId="0" borderId="0" xfId="1" applyFont="1" applyFill="1" applyBorder="1" applyProtection="1"/>
    <xf numFmtId="1" fontId="13" fillId="7" borderId="9" xfId="0" applyNumberFormat="1" applyFont="1" applyFill="1" applyBorder="1" applyAlignment="1" applyProtection="1">
      <alignment horizontal="center" vertical="center"/>
      <protection locked="0"/>
    </xf>
    <xf numFmtId="1" fontId="13" fillId="7" borderId="4" xfId="0" applyNumberFormat="1" applyFont="1" applyFill="1" applyBorder="1" applyAlignment="1" applyProtection="1">
      <alignment horizontal="center" vertical="center"/>
      <protection locked="0"/>
    </xf>
    <xf numFmtId="0" fontId="11" fillId="7" borderId="4" xfId="0" applyFont="1" applyFill="1" applyBorder="1" applyAlignment="1" applyProtection="1">
      <alignment horizontal="center" vertical="center"/>
      <protection locked="0"/>
    </xf>
    <xf numFmtId="0" fontId="0" fillId="7" borderId="10" xfId="0" applyFill="1" applyBorder="1" applyAlignment="1" applyProtection="1">
      <alignment horizontal="center"/>
      <protection locked="0"/>
    </xf>
    <xf numFmtId="0" fontId="0" fillId="0" borderId="16" xfId="0" applyBorder="1"/>
    <xf numFmtId="0" fontId="14" fillId="0" borderId="4" xfId="0" applyFont="1" applyFill="1" applyBorder="1"/>
    <xf numFmtId="0" fontId="23" fillId="0" borderId="4" xfId="0" applyFont="1" applyFill="1" applyBorder="1"/>
    <xf numFmtId="166" fontId="18" fillId="0" borderId="17" xfId="0" applyNumberFormat="1" applyFont="1" applyFill="1" applyBorder="1"/>
    <xf numFmtId="0" fontId="14" fillId="0" borderId="10" xfId="0" applyFont="1" applyFill="1" applyBorder="1"/>
    <xf numFmtId="0" fontId="23" fillId="0" borderId="19" xfId="0" applyFont="1" applyFill="1" applyBorder="1"/>
    <xf numFmtId="0" fontId="0" fillId="0" borderId="0" xfId="0" applyAlignment="1">
      <alignment horizontal="left" vertical="center"/>
    </xf>
    <xf numFmtId="0" fontId="14" fillId="0" borderId="22" xfId="0" applyFont="1" applyFill="1" applyBorder="1"/>
    <xf numFmtId="0" fontId="14" fillId="0" borderId="17" xfId="0" applyFont="1" applyFill="1" applyBorder="1" applyAlignment="1">
      <alignment wrapText="1"/>
    </xf>
    <xf numFmtId="0" fontId="19" fillId="0" borderId="17" xfId="0" applyFont="1" applyFill="1" applyBorder="1" applyAlignment="1">
      <alignment horizontal="center" vertical="center" wrapText="1"/>
    </xf>
    <xf numFmtId="166" fontId="18" fillId="0" borderId="7" xfId="0" applyNumberFormat="1" applyFont="1" applyFill="1" applyBorder="1" applyProtection="1"/>
    <xf numFmtId="0" fontId="15" fillId="3" borderId="28" xfId="0" applyFont="1" applyFill="1" applyBorder="1"/>
    <xf numFmtId="0" fontId="14" fillId="3" borderId="10" xfId="0" applyFont="1" applyFill="1" applyBorder="1"/>
    <xf numFmtId="0" fontId="19" fillId="0" borderId="17" xfId="0" applyFont="1" applyFill="1" applyBorder="1" applyAlignment="1">
      <alignment horizontal="center" wrapText="1"/>
    </xf>
    <xf numFmtId="0" fontId="19" fillId="10" borderId="4" xfId="0" applyFont="1" applyFill="1" applyBorder="1"/>
    <xf numFmtId="0" fontId="19" fillId="10" borderId="5" xfId="0" applyFont="1" applyFill="1" applyBorder="1"/>
    <xf numFmtId="0" fontId="19" fillId="10" borderId="10" xfId="0" applyFont="1" applyFill="1" applyBorder="1"/>
    <xf numFmtId="0" fontId="15" fillId="0" borderId="32" xfId="0" applyFont="1" applyFill="1" applyBorder="1"/>
    <xf numFmtId="0" fontId="14" fillId="0" borderId="30" xfId="0" applyFont="1" applyFill="1" applyBorder="1"/>
    <xf numFmtId="0" fontId="15" fillId="3" borderId="21" xfId="0" applyFont="1" applyFill="1" applyBorder="1"/>
    <xf numFmtId="0" fontId="14" fillId="3" borderId="19" xfId="0" applyFont="1" applyFill="1" applyBorder="1"/>
    <xf numFmtId="0" fontId="14" fillId="11" borderId="10" xfId="0" applyFont="1" applyFill="1" applyBorder="1"/>
    <xf numFmtId="0" fontId="14" fillId="11" borderId="5" xfId="0" applyFont="1" applyFill="1" applyBorder="1" applyAlignment="1">
      <alignment wrapText="1"/>
    </xf>
    <xf numFmtId="0" fontId="14" fillId="11" borderId="27" xfId="0" applyFont="1" applyFill="1" applyBorder="1" applyAlignment="1">
      <alignment wrapText="1"/>
    </xf>
    <xf numFmtId="0" fontId="9" fillId="11" borderId="30" xfId="0" applyFont="1" applyFill="1" applyBorder="1" applyAlignment="1">
      <alignment horizontal="center" vertical="center"/>
    </xf>
    <xf numFmtId="0" fontId="15" fillId="11" borderId="34" xfId="0" applyFont="1" applyFill="1" applyBorder="1" applyAlignment="1">
      <alignment horizontal="center" vertical="center"/>
    </xf>
    <xf numFmtId="0" fontId="14" fillId="11" borderId="7" xfId="0" applyFont="1" applyFill="1" applyBorder="1" applyAlignment="1">
      <alignment wrapText="1"/>
    </xf>
    <xf numFmtId="1" fontId="13" fillId="7" borderId="49" xfId="0" applyNumberFormat="1" applyFont="1" applyFill="1" applyBorder="1" applyAlignment="1" applyProtection="1">
      <alignment horizontal="center" vertical="center"/>
      <protection locked="0"/>
    </xf>
    <xf numFmtId="0" fontId="0" fillId="0" borderId="59" xfId="0" applyBorder="1" applyProtection="1"/>
    <xf numFmtId="0" fontId="0" fillId="0" borderId="0" xfId="0" applyBorder="1"/>
    <xf numFmtId="0" fontId="18" fillId="0" borderId="10" xfId="0" applyFont="1" applyBorder="1"/>
    <xf numFmtId="0" fontId="18" fillId="0" borderId="10" xfId="0" applyFont="1" applyBorder="1" applyAlignment="1">
      <alignment vertical="center"/>
    </xf>
    <xf numFmtId="0" fontId="0" fillId="0" borderId="27" xfId="0" applyBorder="1"/>
    <xf numFmtId="0" fontId="18" fillId="0" borderId="17" xfId="0" applyFont="1" applyBorder="1" applyAlignment="1">
      <alignment vertical="center"/>
    </xf>
    <xf numFmtId="164" fontId="10" fillId="0" borderId="46" xfId="1" applyFont="1" applyBorder="1"/>
    <xf numFmtId="0" fontId="0" fillId="0" borderId="66" xfId="0" applyBorder="1"/>
    <xf numFmtId="0" fontId="18" fillId="0" borderId="6" xfId="0" applyFont="1" applyBorder="1"/>
    <xf numFmtId="0" fontId="18" fillId="0" borderId="64" xfId="0" applyFont="1" applyBorder="1" applyAlignment="1">
      <alignment horizontal="center" vertical="center"/>
    </xf>
    <xf numFmtId="0" fontId="18" fillId="0" borderId="65" xfId="0" applyFont="1" applyBorder="1" applyAlignment="1">
      <alignment vertical="center"/>
    </xf>
    <xf numFmtId="0" fontId="18" fillId="0" borderId="8" xfId="0" applyFont="1" applyBorder="1" applyAlignment="1">
      <alignment vertical="center"/>
    </xf>
    <xf numFmtId="0" fontId="18" fillId="0" borderId="8" xfId="0" applyFont="1" applyBorder="1"/>
    <xf numFmtId="0" fontId="0" fillId="0" borderId="69" xfId="0" applyBorder="1"/>
    <xf numFmtId="0" fontId="0" fillId="0" borderId="67" xfId="0" applyBorder="1"/>
    <xf numFmtId="0" fontId="15" fillId="3" borderId="67" xfId="0" applyFont="1" applyFill="1" applyBorder="1" applyProtection="1"/>
    <xf numFmtId="0" fontId="15" fillId="3" borderId="68" xfId="0" applyFont="1" applyFill="1" applyBorder="1" applyProtection="1"/>
    <xf numFmtId="0" fontId="18" fillId="0" borderId="14" xfId="0" applyFont="1" applyBorder="1"/>
    <xf numFmtId="0" fontId="18" fillId="0" borderId="70" xfId="0" applyFont="1" applyBorder="1"/>
    <xf numFmtId="0" fontId="24" fillId="11" borderId="37" xfId="0" applyFont="1" applyFill="1" applyBorder="1"/>
    <xf numFmtId="0" fontId="6" fillId="0" borderId="13" xfId="0" applyFont="1" applyBorder="1"/>
    <xf numFmtId="0" fontId="6" fillId="0" borderId="3" xfId="0" applyFont="1" applyBorder="1"/>
    <xf numFmtId="0" fontId="18" fillId="0" borderId="27" xfId="0" applyFont="1" applyBorder="1"/>
    <xf numFmtId="0" fontId="18" fillId="0" borderId="17" xfId="0" applyFont="1" applyBorder="1" applyAlignment="1"/>
    <xf numFmtId="0" fontId="18" fillId="0" borderId="10" xfId="0" applyFont="1" applyBorder="1" applyAlignment="1"/>
    <xf numFmtId="164" fontId="18" fillId="0" borderId="27" xfId="1" applyFont="1" applyBorder="1" applyProtection="1"/>
    <xf numFmtId="0" fontId="18" fillId="0" borderId="17" xfId="0" applyFont="1" applyBorder="1"/>
    <xf numFmtId="164" fontId="18" fillId="0" borderId="4" xfId="1" applyFont="1" applyBorder="1" applyProtection="1"/>
    <xf numFmtId="0" fontId="18" fillId="0" borderId="75" xfId="0" applyFont="1" applyBorder="1"/>
    <xf numFmtId="0" fontId="18" fillId="0" borderId="77" xfId="0" applyFont="1" applyBorder="1"/>
    <xf numFmtId="0" fontId="18" fillId="0" borderId="26" xfId="0" applyFont="1" applyBorder="1"/>
    <xf numFmtId="0" fontId="18" fillId="0" borderId="15" xfId="0" applyFont="1" applyBorder="1" applyAlignment="1">
      <alignment horizontal="center" vertical="center"/>
    </xf>
    <xf numFmtId="0" fontId="18" fillId="0" borderId="23" xfId="0" applyFont="1" applyBorder="1" applyAlignment="1">
      <alignment horizontal="center" vertical="center"/>
    </xf>
    <xf numFmtId="0" fontId="18" fillId="0" borderId="18" xfId="0" applyFont="1" applyFill="1" applyBorder="1"/>
    <xf numFmtId="1" fontId="18" fillId="0" borderId="20" xfId="0" applyNumberFormat="1" applyFont="1" applyFill="1" applyBorder="1"/>
    <xf numFmtId="1" fontId="18" fillId="0" borderId="18" xfId="0" applyNumberFormat="1" applyFont="1" applyFill="1" applyBorder="1"/>
    <xf numFmtId="0" fontId="18" fillId="0" borderId="25" xfId="0" applyFont="1" applyFill="1" applyBorder="1" applyAlignment="1">
      <alignment wrapText="1"/>
    </xf>
    <xf numFmtId="1" fontId="18" fillId="0" borderId="31" xfId="0" applyNumberFormat="1" applyFont="1" applyFill="1" applyBorder="1"/>
    <xf numFmtId="0" fontId="18" fillId="0" borderId="15" xfId="0" applyFont="1" applyFill="1" applyBorder="1"/>
    <xf numFmtId="0" fontId="18" fillId="0" borderId="25" xfId="0" applyFont="1" applyFill="1" applyBorder="1"/>
    <xf numFmtId="0" fontId="24" fillId="0" borderId="31" xfId="0" applyFont="1" applyFill="1" applyBorder="1"/>
    <xf numFmtId="0" fontId="18"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1" fontId="18" fillId="0" borderId="24" xfId="0" applyNumberFormat="1" applyFont="1" applyFill="1" applyBorder="1" applyAlignment="1">
      <alignment wrapText="1"/>
    </xf>
    <xf numFmtId="0" fontId="19" fillId="10" borderId="30" xfId="0" applyFont="1" applyFill="1" applyBorder="1" applyAlignment="1">
      <alignment horizontal="center" vertical="center"/>
    </xf>
    <xf numFmtId="0" fontId="18" fillId="3" borderId="10" xfId="0" applyFont="1" applyFill="1" applyBorder="1" applyAlignment="1" applyProtection="1">
      <alignment horizontal="center" vertical="center"/>
    </xf>
    <xf numFmtId="1" fontId="18" fillId="3" borderId="4" xfId="0" applyNumberFormat="1" applyFont="1" applyFill="1" applyBorder="1" applyAlignment="1" applyProtection="1">
      <alignment horizontal="center" vertical="center"/>
    </xf>
    <xf numFmtId="2" fontId="18" fillId="3" borderId="10" xfId="0" applyNumberFormat="1" applyFont="1" applyFill="1" applyBorder="1" applyAlignment="1" applyProtection="1">
      <alignment horizontal="center" vertical="center"/>
    </xf>
    <xf numFmtId="2" fontId="18" fillId="3" borderId="4" xfId="0" applyNumberFormat="1"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1" fontId="13" fillId="7" borderId="31" xfId="0" applyNumberFormat="1" applyFont="1" applyFill="1" applyBorder="1" applyAlignment="1" applyProtection="1">
      <alignment horizontal="center" vertical="center"/>
      <protection locked="0"/>
    </xf>
    <xf numFmtId="0" fontId="15" fillId="7" borderId="4" xfId="1" applyNumberFormat="1" applyFont="1" applyFill="1" applyBorder="1" applyAlignment="1" applyProtection="1">
      <alignment horizontal="center" vertical="center"/>
      <protection locked="0"/>
    </xf>
    <xf numFmtId="164" fontId="10" fillId="0" borderId="82" xfId="1" applyFont="1" applyBorder="1" applyProtection="1"/>
    <xf numFmtId="164" fontId="18" fillId="0" borderId="84" xfId="1" applyFont="1" applyBorder="1" applyAlignment="1" applyProtection="1">
      <alignment horizontal="center" vertical="center"/>
    </xf>
    <xf numFmtId="0" fontId="18" fillId="0" borderId="6" xfId="0" applyFont="1" applyFill="1" applyBorder="1" applyAlignment="1" applyProtection="1">
      <alignment horizontal="right" vertical="center" indent="1"/>
    </xf>
    <xf numFmtId="167" fontId="18" fillId="0" borderId="4" xfId="0" applyNumberFormat="1" applyFont="1" applyFill="1" applyBorder="1" applyAlignment="1" applyProtection="1">
      <alignment horizontal="right" vertical="center" wrapText="1" indent="1"/>
    </xf>
    <xf numFmtId="2" fontId="18" fillId="0" borderId="4" xfId="0" applyNumberFormat="1" applyFont="1" applyFill="1" applyBorder="1" applyAlignment="1" applyProtection="1">
      <alignment horizontal="right" vertical="center" indent="1"/>
    </xf>
    <xf numFmtId="2" fontId="18" fillId="0" borderId="83" xfId="0" applyNumberFormat="1" applyFont="1" applyFill="1" applyBorder="1" applyAlignment="1" applyProtection="1">
      <alignment horizontal="right" vertical="center" indent="1"/>
    </xf>
    <xf numFmtId="0" fontId="18" fillId="11" borderId="6" xfId="0" applyFont="1" applyFill="1" applyBorder="1" applyAlignment="1" applyProtection="1">
      <alignment horizontal="right" vertical="center" indent="1"/>
    </xf>
    <xf numFmtId="0" fontId="0" fillId="0" borderId="0" xfId="0" applyFill="1" applyBorder="1" applyAlignment="1" applyProtection="1"/>
    <xf numFmtId="0" fontId="0" fillId="0" borderId="0" xfId="0" applyFill="1" applyBorder="1" applyProtection="1"/>
    <xf numFmtId="0" fontId="10" fillId="0" borderId="0" xfId="0" applyFont="1" applyFill="1" applyBorder="1" applyAlignment="1" applyProtection="1">
      <alignment horizontal="right" vertical="center" indent="1"/>
    </xf>
    <xf numFmtId="0" fontId="0" fillId="0" borderId="0" xfId="0" applyFill="1" applyBorder="1" applyAlignment="1" applyProtection="1">
      <alignment horizontal="center"/>
    </xf>
    <xf numFmtId="0" fontId="13" fillId="0" borderId="0" xfId="0" applyFont="1" applyFill="1" applyBorder="1" applyAlignment="1" applyProtection="1"/>
    <xf numFmtId="167" fontId="0" fillId="0" borderId="0" xfId="0" applyNumberFormat="1" applyFont="1" applyFill="1" applyBorder="1" applyAlignment="1" applyProtection="1">
      <alignment horizontal="right" vertical="center" wrapText="1" indent="1"/>
    </xf>
    <xf numFmtId="2" fontId="10" fillId="0" borderId="0" xfId="0" applyNumberFormat="1" applyFont="1" applyFill="1" applyBorder="1" applyAlignment="1" applyProtection="1">
      <alignment horizontal="right" vertical="center" indent="1"/>
    </xf>
    <xf numFmtId="168" fontId="18" fillId="0" borderId="81" xfId="1" applyNumberFormat="1" applyFont="1" applyBorder="1" applyAlignment="1" applyProtection="1">
      <alignment horizontal="center" vertical="center"/>
    </xf>
    <xf numFmtId="0" fontId="6" fillId="0" borderId="0" xfId="0" applyFont="1" applyBorder="1" applyAlignment="1" applyProtection="1"/>
    <xf numFmtId="0" fontId="0" fillId="0" borderId="0" xfId="0" applyBorder="1" applyAlignment="1" applyProtection="1"/>
    <xf numFmtId="164" fontId="18" fillId="13" borderId="8" xfId="1" applyFont="1" applyFill="1" applyBorder="1" applyAlignment="1" applyProtection="1">
      <alignment horizontal="center" vertical="center"/>
    </xf>
    <xf numFmtId="167" fontId="28" fillId="0" borderId="0" xfId="0" applyNumberFormat="1" applyFont="1"/>
    <xf numFmtId="164" fontId="10" fillId="0" borderId="46" xfId="1" applyFont="1" applyFill="1" applyBorder="1"/>
    <xf numFmtId="0" fontId="19" fillId="11" borderId="3" xfId="0" applyFont="1" applyFill="1" applyBorder="1" applyAlignment="1">
      <alignment horizontal="center" vertical="center"/>
    </xf>
    <xf numFmtId="0" fontId="18" fillId="0" borderId="16" xfId="0" applyFont="1" applyFill="1" applyBorder="1" applyAlignment="1">
      <alignment wrapText="1"/>
    </xf>
    <xf numFmtId="0" fontId="29" fillId="0" borderId="0" xfId="0" applyFont="1"/>
    <xf numFmtId="167" fontId="23" fillId="0" borderId="0" xfId="0" applyNumberFormat="1" applyFont="1" applyFill="1" applyBorder="1"/>
    <xf numFmtId="0" fontId="23" fillId="0" borderId="0" xfId="0" applyFont="1" applyFill="1" applyBorder="1"/>
    <xf numFmtId="0" fontId="24" fillId="0" borderId="0" xfId="0" applyFont="1" applyBorder="1" applyAlignment="1">
      <alignment horizontal="left" indent="1"/>
    </xf>
    <xf numFmtId="0" fontId="18" fillId="0" borderId="85" xfId="0" applyFont="1" applyBorder="1"/>
    <xf numFmtId="0" fontId="0" fillId="0" borderId="0" xfId="0" applyProtection="1"/>
    <xf numFmtId="0" fontId="0" fillId="0" borderId="0" xfId="0" applyFill="1" applyBorder="1" applyAlignment="1" applyProtection="1">
      <alignment vertical="center"/>
    </xf>
    <xf numFmtId="0" fontId="10" fillId="0" borderId="0" xfId="0" applyFont="1" applyFill="1" applyBorder="1" applyAlignment="1" applyProtection="1">
      <alignment vertical="center"/>
    </xf>
    <xf numFmtId="164" fontId="10" fillId="0" borderId="0" xfId="1" applyFont="1" applyProtection="1"/>
    <xf numFmtId="0" fontId="20" fillId="0" borderId="0" xfId="0" applyFont="1" applyProtection="1"/>
    <xf numFmtId="0" fontId="18" fillId="0" borderId="0" xfId="0" applyFont="1" applyBorder="1" applyAlignment="1" applyProtection="1"/>
    <xf numFmtId="0" fontId="15" fillId="0" borderId="4" xfId="0" applyFont="1" applyBorder="1" applyAlignment="1" applyProtection="1">
      <alignment horizontal="center"/>
    </xf>
    <xf numFmtId="0" fontId="18" fillId="0" borderId="4" xfId="0" applyFont="1" applyBorder="1" applyProtection="1"/>
    <xf numFmtId="1" fontId="13" fillId="5" borderId="6" xfId="0" applyNumberFormat="1" applyFont="1" applyFill="1" applyBorder="1" applyAlignment="1" applyProtection="1">
      <alignment horizontal="center" vertical="center"/>
    </xf>
    <xf numFmtId="2" fontId="18" fillId="5" borderId="6" xfId="0" applyNumberFormat="1" applyFont="1" applyFill="1" applyBorder="1" applyAlignment="1" applyProtection="1">
      <alignment horizontal="center" vertical="center"/>
    </xf>
    <xf numFmtId="167" fontId="13" fillId="5" borderId="6" xfId="0" applyNumberFormat="1" applyFont="1" applyFill="1" applyBorder="1" applyAlignment="1" applyProtection="1">
      <alignment horizontal="center" vertical="center"/>
    </xf>
    <xf numFmtId="0" fontId="0" fillId="5" borderId="40" xfId="0" applyFill="1" applyBorder="1" applyProtection="1"/>
    <xf numFmtId="0" fontId="0" fillId="5" borderId="40" xfId="0" applyFill="1" applyBorder="1" applyAlignment="1" applyProtection="1">
      <alignment horizontal="center"/>
    </xf>
    <xf numFmtId="164" fontId="0" fillId="5" borderId="40" xfId="0" applyNumberFormat="1" applyFill="1" applyBorder="1" applyProtection="1"/>
    <xf numFmtId="0" fontId="13" fillId="5" borderId="8" xfId="0" applyFont="1" applyFill="1" applyBorder="1" applyAlignment="1" applyProtection="1">
      <alignment horizontal="center"/>
    </xf>
    <xf numFmtId="2" fontId="18" fillId="0" borderId="4" xfId="0" applyNumberFormat="1" applyFont="1" applyBorder="1" applyAlignment="1" applyProtection="1">
      <alignment horizontal="center" vertical="center"/>
    </xf>
    <xf numFmtId="2" fontId="18" fillId="0" borderId="0" xfId="0" applyNumberFormat="1" applyFont="1" applyAlignment="1" applyProtection="1">
      <alignment horizontal="center" vertical="center"/>
    </xf>
    <xf numFmtId="164" fontId="0" fillId="3" borderId="0" xfId="0" applyNumberFormat="1" applyFill="1" applyProtection="1"/>
    <xf numFmtId="0" fontId="0" fillId="0" borderId="45" xfId="0" applyFill="1" applyBorder="1" applyProtection="1"/>
    <xf numFmtId="0" fontId="0" fillId="0" borderId="40" xfId="0" applyBorder="1" applyProtection="1"/>
    <xf numFmtId="0" fontId="0" fillId="0" borderId="0" xfId="0" applyAlignment="1" applyProtection="1">
      <alignment horizontal="center"/>
    </xf>
    <xf numFmtId="0" fontId="0" fillId="0" borderId="40" xfId="0" applyFill="1" applyBorder="1" applyProtection="1"/>
    <xf numFmtId="1" fontId="13" fillId="5" borderId="4" xfId="0" applyNumberFormat="1" applyFont="1" applyFill="1" applyBorder="1" applyAlignment="1" applyProtection="1">
      <alignment horizontal="center" vertical="center"/>
    </xf>
    <xf numFmtId="2" fontId="18" fillId="5" borderId="4" xfId="0" applyNumberFormat="1" applyFont="1" applyFill="1" applyBorder="1" applyAlignment="1" applyProtection="1">
      <alignment horizontal="center" vertical="center"/>
    </xf>
    <xf numFmtId="167" fontId="13" fillId="5" borderId="4" xfId="0" applyNumberFormat="1" applyFont="1" applyFill="1" applyBorder="1" applyAlignment="1" applyProtection="1">
      <alignment horizontal="center" vertical="center"/>
    </xf>
    <xf numFmtId="0" fontId="0" fillId="5" borderId="4" xfId="0" applyFill="1" applyBorder="1" applyProtection="1"/>
    <xf numFmtId="0" fontId="0" fillId="5" borderId="4" xfId="0" applyFill="1" applyBorder="1" applyAlignment="1" applyProtection="1">
      <alignment horizontal="center"/>
    </xf>
    <xf numFmtId="1" fontId="13" fillId="12" borderId="4" xfId="0" applyNumberFormat="1" applyFont="1" applyFill="1" applyBorder="1" applyAlignment="1" applyProtection="1">
      <alignment horizontal="center" vertical="center"/>
    </xf>
    <xf numFmtId="0" fontId="18" fillId="0" borderId="0" xfId="0" applyFont="1" applyAlignment="1" applyProtection="1">
      <alignment horizontal="left" vertical="top"/>
    </xf>
    <xf numFmtId="1" fontId="20" fillId="0" borderId="0" xfId="0" applyNumberFormat="1" applyFont="1" applyFill="1" applyBorder="1" applyAlignment="1" applyProtection="1">
      <alignment horizontal="center"/>
    </xf>
    <xf numFmtId="0" fontId="0" fillId="0" borderId="0" xfId="0" applyFill="1" applyBorder="1" applyAlignment="1" applyProtection="1">
      <alignment horizontal="center" vertical="center"/>
      <protection hidden="1"/>
    </xf>
    <xf numFmtId="0" fontId="18" fillId="0" borderId="0" xfId="0" applyFont="1" applyProtection="1"/>
    <xf numFmtId="0" fontId="0" fillId="0" borderId="0" xfId="0" applyBorder="1" applyAlignment="1" applyProtection="1">
      <alignment horizontal="center"/>
    </xf>
    <xf numFmtId="0" fontId="0" fillId="0" borderId="0" xfId="0" applyBorder="1" applyProtection="1"/>
    <xf numFmtId="0" fontId="0" fillId="7" borderId="0" xfId="0" applyFill="1" applyBorder="1" applyProtection="1"/>
    <xf numFmtId="167" fontId="18" fillId="0" borderId="45" xfId="0" applyNumberFormat="1" applyFont="1" applyFill="1" applyBorder="1" applyAlignment="1" applyProtection="1">
      <alignment horizontal="center" vertical="center"/>
    </xf>
    <xf numFmtId="1" fontId="24" fillId="0" borderId="0" xfId="0" applyNumberFormat="1" applyFont="1" applyFill="1" applyBorder="1" applyAlignment="1" applyProtection="1">
      <alignment horizontal="right" vertical="center" indent="1"/>
    </xf>
    <xf numFmtId="167" fontId="24" fillId="0" borderId="0" xfId="0" applyNumberFormat="1" applyFont="1" applyFill="1" applyBorder="1" applyAlignment="1" applyProtection="1">
      <alignment horizontal="center" vertical="center"/>
    </xf>
    <xf numFmtId="0" fontId="18" fillId="0" borderId="45" xfId="0" applyFont="1" applyFill="1" applyBorder="1" applyAlignment="1" applyProtection="1">
      <alignment horizontal="center" vertical="center"/>
    </xf>
    <xf numFmtId="0" fontId="15" fillId="9" borderId="92" xfId="0" applyFont="1" applyFill="1" applyBorder="1" applyAlignment="1" applyProtection="1">
      <alignment horizontal="center" vertical="center"/>
    </xf>
    <xf numFmtId="1" fontId="18" fillId="10" borderId="37" xfId="0" applyNumberFormat="1" applyFont="1" applyFill="1" applyBorder="1" applyAlignment="1" applyProtection="1">
      <alignment horizontal="center" vertical="center"/>
    </xf>
    <xf numFmtId="2" fontId="18" fillId="10" borderId="37" xfId="0" applyNumberFormat="1" applyFont="1" applyFill="1" applyBorder="1" applyAlignment="1" applyProtection="1">
      <alignment horizontal="center" vertical="center"/>
    </xf>
    <xf numFmtId="0" fontId="18" fillId="10" borderId="37" xfId="0" applyFont="1" applyFill="1" applyBorder="1" applyAlignment="1" applyProtection="1">
      <alignment horizontal="center" vertical="center"/>
    </xf>
    <xf numFmtId="164" fontId="12" fillId="0" borderId="0" xfId="1" applyFont="1" applyBorder="1"/>
    <xf numFmtId="0" fontId="18" fillId="0" borderId="93" xfId="0" applyFont="1" applyBorder="1" applyAlignment="1">
      <alignment horizontal="center" vertical="center"/>
    </xf>
    <xf numFmtId="164" fontId="18" fillId="0" borderId="10" xfId="1" applyFont="1" applyBorder="1" applyProtection="1"/>
    <xf numFmtId="0" fontId="18" fillId="0" borderId="7" xfId="0" applyFont="1" applyBorder="1" applyAlignment="1"/>
    <xf numFmtId="0" fontId="18" fillId="0" borderId="7" xfId="0" applyFont="1" applyBorder="1"/>
    <xf numFmtId="0" fontId="18" fillId="0" borderId="54" xfId="0" applyFont="1" applyBorder="1" applyAlignment="1">
      <alignment horizontal="left" vertical="center"/>
    </xf>
    <xf numFmtId="2" fontId="18" fillId="0" borderId="10" xfId="0" applyNumberFormat="1" applyFont="1" applyFill="1" applyBorder="1"/>
    <xf numFmtId="170" fontId="15" fillId="11" borderId="27" xfId="0" applyNumberFormat="1" applyFont="1" applyFill="1" applyBorder="1"/>
    <xf numFmtId="170" fontId="24" fillId="0" borderId="10" xfId="0" applyNumberFormat="1" applyFont="1" applyFill="1" applyBorder="1" applyProtection="1"/>
    <xf numFmtId="170" fontId="31" fillId="11" borderId="5" xfId="0" applyNumberFormat="1" applyFont="1" applyFill="1" applyBorder="1" applyProtection="1"/>
    <xf numFmtId="1" fontId="20" fillId="0" borderId="0" xfId="0" applyNumberFormat="1" applyFont="1" applyProtection="1"/>
    <xf numFmtId="1" fontId="20" fillId="0" borderId="0" xfId="0" applyNumberFormat="1" applyFont="1" applyFill="1" applyAlignment="1" applyProtection="1">
      <alignment horizontal="center" vertical="center"/>
    </xf>
    <xf numFmtId="1" fontId="20" fillId="0" borderId="0" xfId="0" applyNumberFormat="1" applyFont="1" applyFill="1" applyBorder="1" applyProtection="1"/>
    <xf numFmtId="1" fontId="20" fillId="0" borderId="0" xfId="0" applyNumberFormat="1" applyFont="1" applyFill="1" applyBorder="1" applyAlignment="1" applyProtection="1">
      <alignment horizontal="center" vertical="center"/>
      <protection hidden="1"/>
    </xf>
    <xf numFmtId="2" fontId="23" fillId="0" borderId="0" xfId="0" applyNumberFormat="1" applyFont="1" applyFill="1" applyBorder="1"/>
    <xf numFmtId="0" fontId="0" fillId="0" borderId="0" xfId="0" applyFill="1" applyBorder="1" applyAlignment="1">
      <alignment horizontal="center"/>
    </xf>
    <xf numFmtId="0" fontId="0" fillId="0" borderId="4" xfId="0" applyFont="1" applyBorder="1" applyProtection="1">
      <protection locked="0"/>
    </xf>
    <xf numFmtId="0" fontId="0" fillId="3" borderId="10" xfId="0" applyFont="1" applyFill="1" applyBorder="1" applyProtection="1">
      <protection locked="0"/>
    </xf>
    <xf numFmtId="0" fontId="0" fillId="3" borderId="33" xfId="0" applyFont="1" applyFill="1" applyBorder="1" applyProtection="1">
      <protection locked="0"/>
    </xf>
    <xf numFmtId="0" fontId="0" fillId="3" borderId="56" xfId="0" applyFont="1" applyFill="1" applyBorder="1" applyProtection="1">
      <protection locked="0"/>
    </xf>
    <xf numFmtId="0" fontId="0" fillId="3" borderId="57" xfId="0" applyFont="1" applyFill="1" applyBorder="1" applyProtection="1">
      <protection locked="0"/>
    </xf>
    <xf numFmtId="0" fontId="0" fillId="3" borderId="30" xfId="0" applyFont="1" applyFill="1" applyBorder="1" applyProtection="1">
      <protection locked="0"/>
    </xf>
    <xf numFmtId="0" fontId="0" fillId="10" borderId="30" xfId="0" applyFont="1" applyFill="1" applyBorder="1" applyProtection="1">
      <protection locked="0"/>
    </xf>
    <xf numFmtId="0" fontId="0" fillId="10" borderId="47" xfId="0" applyFont="1" applyFill="1" applyBorder="1" applyProtection="1">
      <protection locked="0"/>
    </xf>
    <xf numFmtId="0" fontId="0" fillId="10" borderId="36" xfId="0" applyFont="1" applyFill="1" applyBorder="1" applyProtection="1">
      <protection locked="0"/>
    </xf>
    <xf numFmtId="0" fontId="0" fillId="10" borderId="48" xfId="0" applyFont="1" applyFill="1" applyBorder="1" applyProtection="1">
      <protection locked="0"/>
    </xf>
    <xf numFmtId="0" fontId="29" fillId="11" borderId="33" xfId="0" applyFont="1" applyFill="1" applyBorder="1" applyProtection="1"/>
    <xf numFmtId="0" fontId="0" fillId="10" borderId="29" xfId="0" applyFont="1" applyFill="1" applyBorder="1" applyProtection="1">
      <protection locked="0"/>
    </xf>
    <xf numFmtId="0" fontId="0" fillId="10" borderId="4" xfId="0" applyFont="1" applyFill="1" applyBorder="1" applyProtection="1">
      <protection locked="0"/>
    </xf>
    <xf numFmtId="0" fontId="0" fillId="10" borderId="19" xfId="0" applyFont="1" applyFill="1" applyBorder="1" applyProtection="1">
      <protection locked="0"/>
    </xf>
    <xf numFmtId="0" fontId="29" fillId="11" borderId="30" xfId="0" applyFont="1" applyFill="1" applyBorder="1" applyProtection="1"/>
    <xf numFmtId="170" fontId="0" fillId="11" borderId="35" xfId="0" applyNumberFormat="1" applyFont="1" applyFill="1" applyBorder="1"/>
    <xf numFmtId="170" fontId="0" fillId="11" borderId="3" xfId="0" applyNumberFormat="1" applyFont="1" applyFill="1" applyBorder="1"/>
    <xf numFmtId="170" fontId="0" fillId="11" borderId="13" xfId="0" applyNumberFormat="1" applyFont="1" applyFill="1" applyBorder="1"/>
    <xf numFmtId="0" fontId="0" fillId="0" borderId="0" xfId="0" applyProtection="1">
      <protection locked="0"/>
    </xf>
    <xf numFmtId="0" fontId="0" fillId="0" borderId="6" xfId="0" applyBorder="1" applyProtection="1">
      <protection locked="0"/>
    </xf>
    <xf numFmtId="0" fontId="0" fillId="0" borderId="4" xfId="0" applyBorder="1" applyProtection="1">
      <protection locked="0"/>
    </xf>
    <xf numFmtId="0" fontId="28" fillId="0" borderId="0" xfId="0" applyFont="1" applyFill="1" applyBorder="1"/>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167" fontId="28" fillId="0" borderId="0" xfId="0" applyNumberFormat="1" applyFont="1" applyFill="1" applyBorder="1"/>
    <xf numFmtId="169" fontId="28" fillId="0" borderId="0" xfId="0" applyNumberFormat="1" applyFont="1" applyFill="1" applyBorder="1"/>
    <xf numFmtId="1" fontId="28" fillId="0" borderId="0" xfId="0" applyNumberFormat="1" applyFont="1" applyFill="1" applyBorder="1"/>
    <xf numFmtId="0" fontId="20" fillId="0" borderId="0" xfId="0" applyFont="1" applyFill="1" applyBorder="1"/>
    <xf numFmtId="167" fontId="28" fillId="0" borderId="0" xfId="0" applyNumberFormat="1" applyFont="1" applyFill="1" applyBorder="1" applyAlignment="1">
      <alignment horizontal="center" vertical="center"/>
    </xf>
    <xf numFmtId="167" fontId="20" fillId="0" borderId="0" xfId="0" applyNumberFormat="1" applyFont="1" applyFill="1" applyBorder="1"/>
    <xf numFmtId="0" fontId="4" fillId="0" borderId="0" xfId="0" applyFont="1" applyFill="1" applyBorder="1" applyAlignment="1" applyProtection="1">
      <alignment horizontal="center" vertical="center"/>
      <protection locked="0"/>
    </xf>
    <xf numFmtId="0" fontId="0" fillId="0" borderId="0" xfId="0" applyAlignment="1">
      <alignment vertical="top" wrapText="1"/>
    </xf>
    <xf numFmtId="0" fontId="28" fillId="0" borderId="0" xfId="0" applyFont="1" applyFill="1" applyBorder="1" applyAlignment="1">
      <alignment horizontal="right" vertical="center"/>
    </xf>
    <xf numFmtId="0" fontId="28" fillId="0" borderId="0" xfId="0" applyFont="1" applyFill="1" applyBorder="1" applyAlignment="1">
      <alignment horizontal="center" vertical="center"/>
    </xf>
    <xf numFmtId="0" fontId="28" fillId="0" borderId="0" xfId="0" applyFont="1" applyFill="1" applyBorder="1" applyAlignment="1" applyProtection="1">
      <alignment horizontal="center"/>
      <protection hidden="1"/>
    </xf>
    <xf numFmtId="0" fontId="0" fillId="0" borderId="0" xfId="0" applyProtection="1">
      <protection hidden="1"/>
    </xf>
    <xf numFmtId="0" fontId="28" fillId="0" borderId="0" xfId="0" applyFont="1" applyFill="1" applyBorder="1" applyAlignment="1" applyProtection="1">
      <alignment horizontal="center" vertical="center"/>
      <protection hidden="1"/>
    </xf>
    <xf numFmtId="2" fontId="28" fillId="0" borderId="0" xfId="0" applyNumberFormat="1" applyFont="1" applyFill="1" applyBorder="1" applyProtection="1">
      <protection hidden="1"/>
    </xf>
    <xf numFmtId="0" fontId="0" fillId="0" borderId="0" xfId="0" applyFill="1" applyProtection="1">
      <protection hidden="1"/>
    </xf>
    <xf numFmtId="2" fontId="18" fillId="0" borderId="0" xfId="0" applyNumberFormat="1" applyFont="1" applyFill="1" applyBorder="1" applyAlignment="1" applyProtection="1">
      <alignment horizontal="center" vertical="center"/>
      <protection hidden="1"/>
    </xf>
    <xf numFmtId="2" fontId="18" fillId="0" borderId="0" xfId="0" applyNumberFormat="1" applyFont="1" applyFill="1" applyBorder="1" applyProtection="1">
      <protection hidden="1"/>
    </xf>
    <xf numFmtId="0" fontId="12" fillId="0" borderId="0" xfId="0" applyFont="1" applyFill="1" applyBorder="1" applyAlignment="1" applyProtection="1">
      <alignment horizontal="center" vertical="center"/>
      <protection hidden="1"/>
    </xf>
    <xf numFmtId="164" fontId="13" fillId="0" borderId="0" xfId="1" applyFont="1" applyProtection="1"/>
    <xf numFmtId="49" fontId="15" fillId="0" borderId="0" xfId="1" applyNumberFormat="1" applyFont="1" applyAlignment="1" applyProtection="1"/>
    <xf numFmtId="0" fontId="13" fillId="3" borderId="14" xfId="0" applyFont="1" applyFill="1" applyBorder="1" applyAlignment="1" applyProtection="1"/>
    <xf numFmtId="0" fontId="0" fillId="3" borderId="4" xfId="0" applyFill="1" applyBorder="1" applyProtection="1"/>
    <xf numFmtId="0" fontId="21" fillId="3" borderId="6" xfId="0" applyFont="1" applyFill="1" applyBorder="1" applyAlignment="1" applyProtection="1">
      <alignment horizontal="center" vertical="center"/>
    </xf>
    <xf numFmtId="0" fontId="0" fillId="3" borderId="6" xfId="0" applyFill="1" applyBorder="1" applyAlignment="1" applyProtection="1">
      <alignment horizontal="center"/>
    </xf>
    <xf numFmtId="0" fontId="21" fillId="3" borderId="4" xfId="0" applyFont="1" applyFill="1" applyBorder="1" applyAlignment="1" applyProtection="1">
      <alignment horizontal="center" vertical="center"/>
    </xf>
    <xf numFmtId="0" fontId="0" fillId="3" borderId="4" xfId="0" applyFill="1" applyBorder="1" applyAlignment="1" applyProtection="1">
      <alignment horizontal="center"/>
    </xf>
    <xf numFmtId="0" fontId="13" fillId="3" borderId="4" xfId="0" applyFont="1" applyFill="1" applyBorder="1" applyProtection="1"/>
    <xf numFmtId="1" fontId="13" fillId="5" borderId="4" xfId="0" applyNumberFormat="1" applyFont="1" applyFill="1" applyBorder="1" applyAlignment="1" applyProtection="1">
      <alignment horizontal="center"/>
    </xf>
    <xf numFmtId="0" fontId="0" fillId="3" borderId="6" xfId="0" applyFill="1" applyBorder="1" applyProtection="1"/>
    <xf numFmtId="0" fontId="13" fillId="2" borderId="4" xfId="0" applyFont="1" applyFill="1" applyBorder="1" applyProtection="1"/>
    <xf numFmtId="1" fontId="13" fillId="4" borderId="4" xfId="0" applyNumberFormat="1" applyFont="1" applyFill="1" applyBorder="1" applyAlignment="1" applyProtection="1">
      <alignment horizontal="center"/>
    </xf>
    <xf numFmtId="1" fontId="13" fillId="4" borderId="4" xfId="0" applyNumberFormat="1" applyFont="1" applyFill="1" applyBorder="1" applyAlignment="1" applyProtection="1">
      <alignment horizontal="center" vertical="center"/>
    </xf>
    <xf numFmtId="2" fontId="18" fillId="4" borderId="4" xfId="0" applyNumberFormat="1" applyFont="1" applyFill="1" applyBorder="1" applyAlignment="1" applyProtection="1">
      <alignment horizontal="center" vertical="center"/>
    </xf>
    <xf numFmtId="167" fontId="13" fillId="2" borderId="4" xfId="0" applyNumberFormat="1" applyFont="1" applyFill="1" applyBorder="1" applyAlignment="1" applyProtection="1">
      <alignment horizontal="center" vertical="center"/>
    </xf>
    <xf numFmtId="0" fontId="0" fillId="4" borderId="4" xfId="0" applyFill="1" applyBorder="1" applyProtection="1"/>
    <xf numFmtId="0" fontId="0" fillId="4" borderId="4" xfId="0" applyFill="1" applyBorder="1" applyAlignment="1" applyProtection="1">
      <alignment horizontal="center"/>
    </xf>
    <xf numFmtId="164" fontId="0" fillId="4" borderId="4" xfId="0" applyNumberFormat="1" applyFill="1" applyBorder="1" applyProtection="1"/>
    <xf numFmtId="0" fontId="13" fillId="4" borderId="4" xfId="0" applyFont="1" applyFill="1" applyBorder="1" applyAlignment="1" applyProtection="1">
      <alignment horizontal="center"/>
    </xf>
    <xf numFmtId="0" fontId="0" fillId="2" borderId="4" xfId="0" applyFill="1" applyBorder="1" applyProtection="1"/>
    <xf numFmtId="0" fontId="0" fillId="2" borderId="6" xfId="0" applyFill="1" applyBorder="1" applyAlignment="1" applyProtection="1">
      <alignment horizontal="center"/>
    </xf>
    <xf numFmtId="164" fontId="0" fillId="2" borderId="0" xfId="0" applyNumberFormat="1" applyFill="1" applyProtection="1"/>
    <xf numFmtId="0" fontId="0" fillId="2" borderId="4" xfId="0" applyFill="1" applyBorder="1" applyAlignment="1" applyProtection="1">
      <alignment horizontal="center"/>
    </xf>
    <xf numFmtId="0" fontId="13" fillId="4" borderId="4" xfId="0" applyFont="1" applyFill="1" applyBorder="1" applyAlignment="1" applyProtection="1"/>
    <xf numFmtId="0" fontId="0" fillId="4" borderId="4" xfId="0" applyFill="1" applyBorder="1" applyAlignment="1" applyProtection="1">
      <alignment horizontal="center" vertical="center"/>
    </xf>
    <xf numFmtId="1" fontId="13" fillId="8" borderId="4" xfId="0" applyNumberFormat="1" applyFont="1" applyFill="1" applyBorder="1" applyAlignment="1" applyProtection="1">
      <alignment horizontal="center" vertical="center"/>
    </xf>
    <xf numFmtId="0" fontId="0" fillId="2" borderId="0" xfId="0" applyFill="1" applyAlignment="1" applyProtection="1">
      <alignment horizontal="center"/>
    </xf>
    <xf numFmtId="0" fontId="0" fillId="2" borderId="0" xfId="0" applyFill="1" applyProtection="1"/>
    <xf numFmtId="1" fontId="13" fillId="2" borderId="4" xfId="0" applyNumberFormat="1" applyFont="1" applyFill="1" applyBorder="1" applyAlignment="1" applyProtection="1">
      <alignment horizontal="center"/>
    </xf>
    <xf numFmtId="0" fontId="18" fillId="0" borderId="4" xfId="0" applyFont="1" applyFill="1" applyBorder="1" applyAlignment="1" applyProtection="1">
      <alignment horizontal="center"/>
    </xf>
    <xf numFmtId="0" fontId="0" fillId="0" borderId="11" xfId="0" applyFill="1" applyBorder="1" applyAlignment="1" applyProtection="1">
      <alignment horizontal="center"/>
    </xf>
    <xf numFmtId="0" fontId="0" fillId="4" borderId="0" xfId="0" applyFill="1" applyAlignment="1" applyProtection="1">
      <alignment horizontal="center"/>
    </xf>
    <xf numFmtId="0" fontId="0" fillId="4" borderId="0" xfId="0" applyFill="1" applyProtection="1"/>
    <xf numFmtId="0" fontId="0" fillId="0" borderId="71" xfId="0" applyFill="1" applyBorder="1" applyProtection="1"/>
    <xf numFmtId="0" fontId="0" fillId="6" borderId="4" xfId="0" applyFill="1" applyBorder="1" applyAlignment="1" applyProtection="1">
      <alignment horizontal="center"/>
    </xf>
    <xf numFmtId="0" fontId="0" fillId="0" borderId="12" xfId="0" applyFill="1" applyBorder="1" applyAlignment="1" applyProtection="1">
      <alignment horizontal="center"/>
    </xf>
    <xf numFmtId="2" fontId="18" fillId="0" borderId="5" xfId="0" applyNumberFormat="1" applyFont="1" applyBorder="1" applyAlignment="1" applyProtection="1">
      <alignment horizontal="center" vertical="center"/>
    </xf>
    <xf numFmtId="0" fontId="0" fillId="0" borderId="38" xfId="0" applyFill="1" applyBorder="1" applyProtection="1"/>
    <xf numFmtId="0" fontId="0" fillId="0" borderId="7" xfId="0" applyBorder="1" applyProtection="1"/>
    <xf numFmtId="0" fontId="0" fillId="0" borderId="0" xfId="0" applyFill="1" applyAlignment="1" applyProtection="1">
      <alignment horizontal="right" vertical="center"/>
    </xf>
    <xf numFmtId="1" fontId="0" fillId="0" borderId="40" xfId="0" applyNumberFormat="1" applyFill="1" applyBorder="1" applyAlignment="1" applyProtection="1">
      <alignment horizontal="center" vertical="center"/>
    </xf>
    <xf numFmtId="0" fontId="3" fillId="13" borderId="0" xfId="0" applyFont="1" applyFill="1" applyBorder="1" applyAlignment="1" applyProtection="1">
      <alignment horizontal="right" vertical="center" indent="1"/>
    </xf>
    <xf numFmtId="0" fontId="0" fillId="0" borderId="4" xfId="0" applyBorder="1" applyAlignment="1" applyProtection="1">
      <alignment horizontal="center" vertical="center"/>
    </xf>
    <xf numFmtId="0" fontId="0" fillId="0" borderId="45" xfId="0" applyBorder="1" applyProtection="1"/>
    <xf numFmtId="0" fontId="28" fillId="0" borderId="0" xfId="0" applyFont="1" applyAlignment="1" applyProtection="1">
      <alignment horizontal="center" vertical="center"/>
    </xf>
    <xf numFmtId="0" fontId="26" fillId="13" borderId="0" xfId="0" applyFont="1" applyFill="1" applyBorder="1" applyAlignment="1" applyProtection="1">
      <alignment vertical="center"/>
      <protection hidden="1"/>
    </xf>
    <xf numFmtId="49" fontId="18" fillId="13" borderId="0" xfId="0" applyNumberFormat="1" applyFont="1" applyFill="1" applyBorder="1" applyAlignment="1" applyProtection="1">
      <alignment vertical="center"/>
    </xf>
    <xf numFmtId="0" fontId="18" fillId="0" borderId="39" xfId="0" applyFont="1" applyBorder="1" applyProtection="1"/>
    <xf numFmtId="0" fontId="22" fillId="0" borderId="39" xfId="0" applyFont="1" applyBorder="1" applyProtection="1"/>
    <xf numFmtId="1" fontId="0" fillId="0" borderId="39" xfId="0" applyNumberFormat="1" applyFill="1" applyBorder="1" applyAlignment="1" applyProtection="1">
      <alignment horizontal="center" vertical="center"/>
    </xf>
    <xf numFmtId="164" fontId="10" fillId="0" borderId="39" xfId="1" applyFont="1" applyBorder="1" applyProtection="1"/>
    <xf numFmtId="168" fontId="13" fillId="0" borderId="39" xfId="1" applyNumberFormat="1" applyFont="1" applyFill="1" applyBorder="1" applyAlignment="1" applyProtection="1">
      <alignment vertical="center"/>
    </xf>
    <xf numFmtId="0" fontId="18" fillId="0" borderId="0" xfId="0" applyFont="1" applyFill="1" applyBorder="1" applyAlignment="1" applyProtection="1">
      <alignment horizontal="right" vertical="center" indent="1"/>
    </xf>
    <xf numFmtId="167" fontId="18" fillId="0" borderId="0" xfId="0" applyNumberFormat="1" applyFont="1" applyFill="1" applyBorder="1" applyAlignment="1" applyProtection="1">
      <alignment horizontal="right" vertical="center" wrapText="1" indent="1"/>
    </xf>
    <xf numFmtId="2" fontId="18" fillId="0" borderId="0" xfId="0" applyNumberFormat="1" applyFont="1" applyFill="1" applyBorder="1" applyAlignment="1" applyProtection="1">
      <alignment horizontal="right" vertical="center" indent="1"/>
    </xf>
    <xf numFmtId="164" fontId="18" fillId="0" borderId="0" xfId="1" applyFont="1" applyFill="1" applyBorder="1" applyAlignment="1" applyProtection="1">
      <alignment horizontal="center" vertical="center"/>
    </xf>
    <xf numFmtId="168" fontId="18" fillId="0" borderId="0" xfId="1" applyNumberFormat="1" applyFont="1" applyFill="1" applyBorder="1" applyAlignment="1" applyProtection="1">
      <alignment horizontal="center" vertical="center"/>
    </xf>
    <xf numFmtId="167" fontId="18" fillId="0" borderId="0" xfId="0" applyNumberFormat="1"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168" fontId="18" fillId="0" borderId="0" xfId="0" applyNumberFormat="1" applyFont="1" applyFill="1" applyBorder="1" applyAlignment="1" applyProtection="1">
      <alignment horizontal="center" vertical="center"/>
    </xf>
    <xf numFmtId="164" fontId="16" fillId="0" borderId="39" xfId="1" applyFont="1" applyBorder="1" applyAlignment="1" applyProtection="1">
      <alignment vertical="center"/>
    </xf>
    <xf numFmtId="0" fontId="18" fillId="0" borderId="0" xfId="0" applyFont="1" applyFill="1" applyBorder="1" applyAlignment="1" applyProtection="1">
      <alignment vertical="center"/>
    </xf>
    <xf numFmtId="164" fontId="10" fillId="0" borderId="0" xfId="1" applyFont="1" applyFill="1" applyBorder="1"/>
    <xf numFmtId="0" fontId="18" fillId="0" borderId="0" xfId="0" applyFont="1" applyBorder="1" applyAlignment="1">
      <alignment vertical="center"/>
    </xf>
    <xf numFmtId="0" fontId="18" fillId="0" borderId="0" xfId="0" applyFont="1" applyBorder="1" applyAlignment="1"/>
    <xf numFmtId="0" fontId="18" fillId="0" borderId="0" xfId="0" applyFont="1" applyBorder="1"/>
    <xf numFmtId="0" fontId="18" fillId="0" borderId="0" xfId="0" applyFont="1" applyBorder="1" applyAlignment="1">
      <alignment horizontal="left" vertical="center"/>
    </xf>
    <xf numFmtId="0" fontId="0" fillId="0" borderId="0" xfId="0" applyBorder="1" applyAlignment="1"/>
    <xf numFmtId="0" fontId="18" fillId="0" borderId="39" xfId="0" applyFont="1" applyBorder="1" applyAlignment="1">
      <alignment horizontal="center" vertical="center"/>
    </xf>
    <xf numFmtId="0" fontId="0" fillId="0" borderId="104" xfId="0" applyBorder="1" applyAlignment="1"/>
    <xf numFmtId="0" fontId="18" fillId="0" borderId="27" xfId="0" applyFont="1" applyBorder="1" applyAlignment="1">
      <alignment vertical="center"/>
    </xf>
    <xf numFmtId="0" fontId="18" fillId="0" borderId="27" xfId="0" applyFont="1" applyBorder="1" applyAlignment="1"/>
    <xf numFmtId="0" fontId="18" fillId="13" borderId="0" xfId="0" applyFont="1" applyFill="1" applyAlignment="1"/>
    <xf numFmtId="0" fontId="18" fillId="0" borderId="0" xfId="0" applyFont="1" applyFill="1" applyAlignment="1"/>
    <xf numFmtId="2" fontId="33" fillId="0" borderId="0" xfId="0" applyNumberFormat="1" applyFont="1" applyFill="1" applyBorder="1"/>
    <xf numFmtId="0" fontId="28" fillId="0" borderId="0" xfId="0" applyFont="1" applyFill="1" applyAlignment="1"/>
    <xf numFmtId="0" fontId="12" fillId="0" borderId="0" xfId="0" applyFont="1"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18" fillId="16" borderId="0" xfId="0" applyFont="1" applyFill="1" applyBorder="1" applyAlignment="1">
      <alignment horizontal="right" indent="1"/>
    </xf>
    <xf numFmtId="1" fontId="18" fillId="16" borderId="0" xfId="0" applyNumberFormat="1" applyFont="1" applyFill="1" applyBorder="1"/>
    <xf numFmtId="0" fontId="29" fillId="0" borderId="0" xfId="0" applyFont="1" applyBorder="1"/>
    <xf numFmtId="0" fontId="0" fillId="0" borderId="0" xfId="0" applyBorder="1" applyAlignment="1">
      <alignment horizontal="center"/>
    </xf>
    <xf numFmtId="1" fontId="34" fillId="13" borderId="10" xfId="0" applyNumberFormat="1" applyFont="1" applyFill="1" applyBorder="1" applyAlignment="1" applyProtection="1">
      <alignment vertical="center"/>
      <protection hidden="1"/>
    </xf>
    <xf numFmtId="0" fontId="0" fillId="0" borderId="0" xfId="0" applyBorder="1" applyProtection="1">
      <protection hidden="1"/>
    </xf>
    <xf numFmtId="0" fontId="13" fillId="7" borderId="9" xfId="0" applyFont="1" applyFill="1" applyBorder="1" applyAlignment="1" applyProtection="1">
      <alignment horizontal="center" vertical="center"/>
      <protection hidden="1"/>
    </xf>
    <xf numFmtId="2" fontId="13" fillId="15" borderId="9" xfId="0" applyNumberFormat="1" applyFont="1" applyFill="1" applyBorder="1" applyAlignment="1" applyProtection="1">
      <alignment horizontal="center" vertical="center"/>
      <protection hidden="1"/>
    </xf>
    <xf numFmtId="165" fontId="18" fillId="0" borderId="12" xfId="1" applyNumberFormat="1" applyFont="1" applyBorder="1" applyAlignment="1" applyProtection="1">
      <alignment horizontal="center" vertical="center"/>
    </xf>
    <xf numFmtId="0" fontId="35" fillId="0" borderId="38" xfId="0" applyFont="1" applyBorder="1" applyAlignment="1" applyProtection="1">
      <alignment horizontal="center" vertical="center"/>
    </xf>
    <xf numFmtId="0" fontId="18" fillId="0" borderId="0" xfId="0" applyFont="1" applyAlignment="1">
      <alignment vertical="center"/>
    </xf>
    <xf numFmtId="0" fontId="18" fillId="0" borderId="38" xfId="0" applyFont="1" applyBorder="1" applyAlignment="1" applyProtection="1">
      <alignment horizontal="center" vertical="center"/>
    </xf>
    <xf numFmtId="164" fontId="18" fillId="0" borderId="38" xfId="1" applyFont="1" applyBorder="1" applyAlignment="1" applyProtection="1">
      <alignment horizontal="center" vertical="center"/>
    </xf>
    <xf numFmtId="0" fontId="18" fillId="0" borderId="0" xfId="0" applyFont="1" applyAlignment="1"/>
    <xf numFmtId="164" fontId="18" fillId="0" borderId="38" xfId="1" applyFont="1" applyBorder="1" applyAlignment="1" applyProtection="1">
      <alignment horizontal="center"/>
    </xf>
    <xf numFmtId="164" fontId="18" fillId="0" borderId="46" xfId="1" applyFont="1" applyFill="1" applyBorder="1" applyAlignment="1" applyProtection="1">
      <alignment vertical="center"/>
    </xf>
    <xf numFmtId="168" fontId="18" fillId="0" borderId="107" xfId="1" applyNumberFormat="1" applyFont="1" applyBorder="1" applyAlignment="1" applyProtection="1">
      <alignment horizontal="right" vertical="center"/>
    </xf>
    <xf numFmtId="164" fontId="18" fillId="0" borderId="105" xfId="1" applyFont="1" applyFill="1" applyBorder="1" applyAlignment="1" applyProtection="1">
      <alignment horizontal="center" vertical="center"/>
    </xf>
    <xf numFmtId="165" fontId="18" fillId="0" borderId="107" xfId="1" applyNumberFormat="1" applyFont="1" applyBorder="1" applyAlignment="1" applyProtection="1">
      <alignment horizontal="center" vertical="center"/>
    </xf>
    <xf numFmtId="0" fontId="18" fillId="0" borderId="98" xfId="0" applyFont="1" applyBorder="1" applyAlignment="1" applyProtection="1">
      <alignment horizontal="center" vertical="center"/>
    </xf>
    <xf numFmtId="0" fontId="18" fillId="0" borderId="39" xfId="0" applyFont="1" applyBorder="1" applyAlignment="1" applyProtection="1">
      <alignment horizontal="center" vertical="center"/>
    </xf>
    <xf numFmtId="0" fontId="18" fillId="0" borderId="106" xfId="0" applyFont="1" applyBorder="1" applyAlignment="1" applyProtection="1">
      <alignment horizontal="center" vertical="center"/>
    </xf>
    <xf numFmtId="0" fontId="18" fillId="13" borderId="8" xfId="0" applyFont="1" applyFill="1" applyBorder="1" applyAlignment="1" applyProtection="1">
      <alignment horizontal="center" vertical="center"/>
    </xf>
    <xf numFmtId="0" fontId="28" fillId="0" borderId="4" xfId="0" applyFont="1" applyBorder="1" applyAlignment="1">
      <alignment horizontal="center"/>
    </xf>
    <xf numFmtId="0" fontId="28" fillId="0" borderId="4" xfId="0" applyFont="1" applyBorder="1"/>
    <xf numFmtId="168" fontId="28" fillId="0" borderId="26" xfId="0" applyNumberFormat="1" applyFont="1" applyBorder="1" applyAlignment="1">
      <alignment horizontal="center" vertical="center"/>
    </xf>
    <xf numFmtId="0" fontId="28" fillId="0" borderId="10" xfId="0" applyFont="1" applyBorder="1" applyAlignment="1">
      <alignment horizontal="center" vertical="center"/>
    </xf>
    <xf numFmtId="168" fontId="28" fillId="0" borderId="75" xfId="0" applyNumberFormat="1" applyFont="1" applyBorder="1" applyAlignment="1">
      <alignment horizontal="center" vertical="center"/>
    </xf>
    <xf numFmtId="0" fontId="19" fillId="11" borderId="60" xfId="0" applyFont="1" applyFill="1" applyBorder="1" applyAlignment="1">
      <alignment horizontal="center" vertical="center"/>
    </xf>
    <xf numFmtId="0" fontId="19" fillId="11" borderId="37" xfId="0" applyFont="1" applyFill="1" applyBorder="1" applyAlignment="1">
      <alignment horizontal="center" vertical="center"/>
    </xf>
    <xf numFmtId="0" fontId="25" fillId="0" borderId="3" xfId="0" applyFont="1" applyFill="1" applyBorder="1" applyAlignment="1">
      <alignment horizontal="right" vertical="center"/>
    </xf>
    <xf numFmtId="1" fontId="25" fillId="0" borderId="19" xfId="0" applyNumberFormat="1" applyFont="1" applyFill="1" applyBorder="1" applyAlignment="1">
      <alignment horizontal="right" vertical="center"/>
    </xf>
    <xf numFmtId="1" fontId="25" fillId="0" borderId="10" xfId="0" applyNumberFormat="1" applyFont="1" applyFill="1" applyBorder="1" applyAlignment="1">
      <alignment horizontal="right" vertical="center"/>
    </xf>
    <xf numFmtId="1" fontId="25" fillId="0" borderId="5" xfId="0" applyNumberFormat="1" applyFont="1" applyFill="1" applyBorder="1" applyAlignment="1">
      <alignment horizontal="right" vertical="center" wrapText="1"/>
    </xf>
    <xf numFmtId="1" fontId="25" fillId="0" borderId="30" xfId="0" applyNumberFormat="1" applyFont="1" applyFill="1" applyBorder="1" applyAlignment="1">
      <alignment horizontal="right" vertical="center"/>
    </xf>
    <xf numFmtId="0" fontId="25" fillId="0" borderId="10" xfId="0" applyFont="1" applyFill="1" applyBorder="1" applyAlignment="1">
      <alignment horizontal="right" vertical="center"/>
    </xf>
    <xf numFmtId="0" fontId="25" fillId="0" borderId="4" xfId="0" applyFont="1" applyFill="1" applyBorder="1" applyAlignment="1">
      <alignment horizontal="right" vertical="center"/>
    </xf>
    <xf numFmtId="0" fontId="25" fillId="0" borderId="5" xfId="0" applyFont="1" applyFill="1" applyBorder="1" applyAlignment="1">
      <alignment horizontal="right" vertical="center"/>
    </xf>
    <xf numFmtId="0" fontId="25" fillId="0" borderId="30" xfId="0" applyFont="1" applyFill="1" applyBorder="1" applyAlignment="1">
      <alignment horizontal="right" vertical="center"/>
    </xf>
    <xf numFmtId="1" fontId="25" fillId="0" borderId="27" xfId="0" applyNumberFormat="1" applyFont="1" applyFill="1" applyBorder="1" applyAlignment="1">
      <alignment horizontal="right" vertical="center" wrapText="1"/>
    </xf>
    <xf numFmtId="0" fontId="25" fillId="0" borderId="17" xfId="0" applyFont="1" applyFill="1" applyBorder="1" applyAlignment="1">
      <alignment horizontal="right" vertical="center" wrapText="1"/>
    </xf>
    <xf numFmtId="1" fontId="25" fillId="0" borderId="17" xfId="0" applyNumberFormat="1" applyFont="1" applyFill="1" applyBorder="1" applyAlignment="1">
      <alignment horizontal="right" wrapText="1"/>
    </xf>
    <xf numFmtId="1" fontId="14" fillId="0" borderId="3" xfId="0" applyNumberFormat="1" applyFont="1" applyFill="1" applyBorder="1" applyAlignment="1">
      <alignment horizontal="right" vertical="center" wrapText="1"/>
    </xf>
    <xf numFmtId="0" fontId="13" fillId="13" borderId="0" xfId="1" applyNumberFormat="1" applyFont="1" applyFill="1" applyBorder="1" applyAlignment="1" applyProtection="1">
      <alignment horizontal="left" vertical="center"/>
    </xf>
    <xf numFmtId="0" fontId="13" fillId="13" borderId="0" xfId="0" applyNumberFormat="1" applyFont="1" applyFill="1" applyBorder="1" applyAlignment="1" applyProtection="1">
      <alignment horizontal="left" vertical="center"/>
    </xf>
    <xf numFmtId="0" fontId="2" fillId="13" borderId="10" xfId="0" applyFont="1" applyFill="1" applyBorder="1" applyAlignment="1" applyProtection="1">
      <alignment horizontal="center" vertical="center"/>
      <protection hidden="1"/>
    </xf>
    <xf numFmtId="0" fontId="2" fillId="0" borderId="4" xfId="0" applyFont="1" applyBorder="1" applyAlignment="1">
      <alignment horizontal="center" vertical="center"/>
    </xf>
    <xf numFmtId="0" fontId="2" fillId="0" borderId="45" xfId="0" applyFont="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39" xfId="0" applyFont="1" applyBorder="1" applyAlignment="1" applyProtection="1">
      <alignment horizontal="left" indent="1"/>
      <protection hidden="1"/>
    </xf>
    <xf numFmtId="1" fontId="2" fillId="11" borderId="11" xfId="0" applyNumberFormat="1" applyFont="1" applyFill="1" applyBorder="1" applyAlignment="1" applyProtection="1">
      <alignment horizontal="center" vertical="center"/>
      <protection hidden="1"/>
    </xf>
    <xf numFmtId="2" fontId="2" fillId="14" borderId="71" xfId="0" applyNumberFormat="1" applyFont="1" applyFill="1" applyBorder="1" applyAlignment="1" applyProtection="1">
      <alignment horizontal="center" vertical="center"/>
      <protection hidden="1"/>
    </xf>
    <xf numFmtId="0" fontId="2" fillId="0" borderId="8" xfId="0" applyFont="1" applyBorder="1" applyAlignment="1" applyProtection="1">
      <alignment horizontal="left" indent="1"/>
      <protection hidden="1"/>
    </xf>
    <xf numFmtId="1" fontId="2" fillId="11" borderId="6" xfId="0" applyNumberFormat="1" applyFont="1" applyFill="1" applyBorder="1" applyAlignment="1" applyProtection="1">
      <alignment horizontal="center" vertical="center"/>
      <protection hidden="1"/>
    </xf>
    <xf numFmtId="2" fontId="2" fillId="14" borderId="14" xfId="0" applyNumberFormat="1" applyFont="1" applyFill="1" applyBorder="1" applyAlignment="1" applyProtection="1">
      <alignment horizontal="center" vertical="center"/>
      <protection hidden="1"/>
    </xf>
    <xf numFmtId="2" fontId="2" fillId="14" borderId="38" xfId="0" applyNumberFormat="1" applyFont="1" applyFill="1" applyBorder="1" applyAlignment="1" applyProtection="1">
      <alignment horizontal="center" vertical="center"/>
      <protection hidden="1"/>
    </xf>
    <xf numFmtId="1" fontId="2" fillId="11" borderId="12" xfId="0" applyNumberFormat="1" applyFont="1" applyFill="1" applyBorder="1" applyAlignment="1" applyProtection="1">
      <alignment horizontal="center" vertical="center"/>
      <protection hidden="1"/>
    </xf>
    <xf numFmtId="0" fontId="26" fillId="0" borderId="8" xfId="0" applyFont="1" applyFill="1" applyBorder="1" applyAlignment="1">
      <alignment horizontal="center" vertical="center"/>
    </xf>
    <xf numFmtId="0" fontId="26" fillId="11" borderId="6" xfId="0" applyFont="1" applyFill="1" applyBorder="1" applyAlignment="1">
      <alignment horizontal="center" vertical="center"/>
    </xf>
    <xf numFmtId="0" fontId="36" fillId="0" borderId="0" xfId="0" applyFont="1" applyFill="1" applyBorder="1" applyAlignment="1" applyProtection="1">
      <alignment horizontal="center" vertical="center"/>
      <protection hidden="1"/>
    </xf>
    <xf numFmtId="0" fontId="37" fillId="0" borderId="0" xfId="0" applyFont="1" applyFill="1" applyAlignment="1"/>
    <xf numFmtId="0" fontId="38" fillId="7" borderId="9" xfId="0" applyFont="1" applyFill="1" applyBorder="1" applyAlignment="1" applyProtection="1">
      <alignment horizontal="center" vertical="center"/>
      <protection hidden="1"/>
    </xf>
    <xf numFmtId="0" fontId="20" fillId="0" borderId="0" xfId="0" applyFont="1"/>
    <xf numFmtId="0" fontId="0" fillId="0" borderId="0" xfId="0" applyAlignment="1">
      <alignment horizontal="center" vertical="center"/>
    </xf>
    <xf numFmtId="0" fontId="0" fillId="0" borderId="4" xfId="0" applyNumberFormat="1" applyBorder="1" applyAlignment="1" applyProtection="1">
      <protection locked="0"/>
    </xf>
    <xf numFmtId="2" fontId="18" fillId="2" borderId="4" xfId="0" applyNumberFormat="1" applyFont="1" applyFill="1" applyBorder="1" applyAlignment="1" applyProtection="1">
      <alignment horizontal="center"/>
    </xf>
    <xf numFmtId="0" fontId="0" fillId="0" borderId="64"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0" xfId="0" applyFont="1" applyFill="1" applyBorder="1" applyAlignment="1" applyProtection="1">
      <alignment vertical="center" wrapText="1"/>
    </xf>
    <xf numFmtId="0" fontId="0" fillId="13" borderId="0" xfId="0" applyFill="1" applyBorder="1" applyAlignment="1" applyProtection="1">
      <alignment horizontal="center" vertical="center"/>
    </xf>
    <xf numFmtId="1" fontId="13" fillId="17" borderId="4" xfId="0" applyNumberFormat="1" applyFont="1" applyFill="1" applyBorder="1" applyAlignment="1" applyProtection="1">
      <alignment horizontal="center" vertical="center"/>
    </xf>
    <xf numFmtId="168" fontId="18" fillId="0" borderId="94" xfId="1" applyNumberFormat="1" applyFont="1" applyBorder="1" applyAlignment="1" applyProtection="1">
      <alignment horizontal="center" vertical="center"/>
    </xf>
    <xf numFmtId="0" fontId="27" fillId="0" borderId="0" xfId="0" applyFont="1" applyFill="1" applyAlignment="1" applyProtection="1">
      <alignment horizontal="center" vertical="center"/>
    </xf>
    <xf numFmtId="0" fontId="40" fillId="0" borderId="43" xfId="0" applyFont="1" applyFill="1" applyBorder="1" applyAlignment="1">
      <alignment horizontal="center" vertical="center"/>
    </xf>
    <xf numFmtId="0" fontId="33" fillId="0" borderId="5" xfId="0" applyFont="1" applyFill="1" applyBorder="1"/>
    <xf numFmtId="0" fontId="41" fillId="0" borderId="5" xfId="0" applyFont="1" applyFill="1" applyBorder="1" applyAlignment="1">
      <alignment horizontal="center" vertical="center"/>
    </xf>
    <xf numFmtId="0" fontId="33" fillId="0" borderId="5" xfId="0" applyFont="1" applyFill="1" applyBorder="1" applyAlignment="1">
      <alignment horizontal="center" vertical="center"/>
    </xf>
    <xf numFmtId="0" fontId="28" fillId="0" borderId="78" xfId="0" applyFont="1" applyFill="1" applyBorder="1" applyAlignment="1">
      <alignment horizontal="center" vertical="center"/>
    </xf>
    <xf numFmtId="164" fontId="42" fillId="0" borderId="109" xfId="1" applyFont="1" applyFill="1" applyBorder="1" applyAlignment="1">
      <alignment horizontal="center" vertical="center"/>
    </xf>
    <xf numFmtId="164" fontId="42" fillId="0" borderId="5" xfId="1" applyFont="1" applyFill="1" applyBorder="1" applyAlignment="1">
      <alignment horizontal="center" vertical="center"/>
    </xf>
    <xf numFmtId="0" fontId="14" fillId="0" borderId="17" xfId="0" applyFont="1" applyFill="1" applyBorder="1" applyAlignment="1">
      <alignment horizontal="center" vertical="center"/>
    </xf>
    <xf numFmtId="0" fontId="14" fillId="0" borderId="77" xfId="0" applyFont="1" applyFill="1" applyBorder="1" applyAlignment="1">
      <alignment horizontal="center" vertical="center"/>
    </xf>
    <xf numFmtId="168" fontId="10" fillId="0" borderId="65" xfId="1" applyNumberFormat="1" applyFont="1" applyFill="1" applyBorder="1" applyAlignment="1" applyProtection="1">
      <alignment horizontal="center" vertical="center"/>
      <protection locked="0"/>
    </xf>
    <xf numFmtId="168" fontId="10" fillId="0" borderId="17" xfId="1" applyNumberFormat="1" applyFont="1" applyFill="1" applyBorder="1" applyAlignment="1" applyProtection="1">
      <alignment horizontal="center" vertical="center"/>
      <protection locked="0"/>
    </xf>
    <xf numFmtId="168" fontId="10" fillId="0" borderId="112" xfId="1" applyNumberFormat="1" applyFont="1" applyFill="1" applyBorder="1" applyAlignment="1" applyProtection="1">
      <alignment horizontal="center" vertical="center"/>
      <protection locked="0"/>
    </xf>
    <xf numFmtId="164" fontId="18" fillId="0" borderId="71" xfId="1" applyFont="1" applyBorder="1" applyAlignment="1" applyProtection="1">
      <alignment horizontal="center" vertical="center"/>
    </xf>
    <xf numFmtId="167" fontId="18" fillId="0" borderId="2" xfId="0" applyNumberFormat="1" applyFont="1" applyBorder="1" applyAlignment="1" applyProtection="1">
      <alignment horizontal="center" vertical="center"/>
    </xf>
    <xf numFmtId="168" fontId="18" fillId="11" borderId="1" xfId="0" applyNumberFormat="1" applyFont="1" applyFill="1" applyBorder="1" applyAlignment="1" applyProtection="1">
      <alignment horizontal="center" vertical="center"/>
    </xf>
    <xf numFmtId="164" fontId="0" fillId="0" borderId="0" xfId="1" applyFont="1" applyFill="1" applyBorder="1" applyProtection="1"/>
    <xf numFmtId="2" fontId="0" fillId="0" borderId="0" xfId="0" applyNumberFormat="1" applyFont="1" applyFill="1" applyBorder="1" applyAlignment="1" applyProtection="1">
      <alignment horizontal="right" vertical="center" indent="1"/>
    </xf>
    <xf numFmtId="2" fontId="0" fillId="0" borderId="0" xfId="0" applyNumberFormat="1"/>
    <xf numFmtId="0" fontId="0" fillId="0" borderId="0" xfId="0" applyAlignment="1">
      <alignment vertical="center"/>
    </xf>
    <xf numFmtId="0" fontId="20" fillId="0" borderId="0" xfId="0" applyFont="1" applyFill="1" applyBorder="1" applyAlignment="1">
      <alignment vertical="center"/>
    </xf>
    <xf numFmtId="0" fontId="20" fillId="0" borderId="40" xfId="0" applyFont="1" applyFill="1" applyBorder="1" applyAlignment="1">
      <alignment vertical="center"/>
    </xf>
    <xf numFmtId="0" fontId="20" fillId="0" borderId="0" xfId="0" applyFont="1" applyBorder="1" applyAlignment="1">
      <alignment vertical="center"/>
    </xf>
    <xf numFmtId="0" fontId="20" fillId="0" borderId="40" xfId="0" applyFont="1" applyBorder="1" applyAlignment="1" applyProtection="1">
      <alignment vertical="center"/>
    </xf>
    <xf numFmtId="168" fontId="15" fillId="10" borderId="76" xfId="1" applyNumberFormat="1" applyFont="1" applyFill="1" applyBorder="1" applyAlignment="1" applyProtection="1">
      <alignment horizontal="center" vertical="center"/>
    </xf>
    <xf numFmtId="168" fontId="15" fillId="3" borderId="75" xfId="1" applyNumberFormat="1" applyFont="1" applyFill="1" applyBorder="1" applyAlignment="1" applyProtection="1">
      <alignment horizontal="center" vertical="center"/>
    </xf>
    <xf numFmtId="1" fontId="13" fillId="17" borderId="17" xfId="0" applyNumberFormat="1" applyFont="1" applyFill="1" applyBorder="1" applyAlignment="1" applyProtection="1">
      <alignment horizontal="center" vertical="center"/>
    </xf>
    <xf numFmtId="170" fontId="13" fillId="17" borderId="17" xfId="1" applyNumberFormat="1" applyFont="1" applyFill="1" applyBorder="1" applyAlignment="1" applyProtection="1">
      <alignment horizontal="center" vertical="center"/>
    </xf>
    <xf numFmtId="168" fontId="13" fillId="17" borderId="77" xfId="1" applyNumberFormat="1" applyFont="1" applyFill="1" applyBorder="1" applyAlignment="1" applyProtection="1">
      <alignment horizontal="center" vertical="center"/>
    </xf>
    <xf numFmtId="1" fontId="15" fillId="3" borderId="10" xfId="0" applyNumberFormat="1" applyFont="1" applyFill="1" applyBorder="1" applyAlignment="1" applyProtection="1">
      <alignment horizontal="center" vertical="center"/>
    </xf>
    <xf numFmtId="1" fontId="15" fillId="10" borderId="27" xfId="0" applyNumberFormat="1" applyFont="1" applyFill="1" applyBorder="1" applyAlignment="1" applyProtection="1">
      <alignment horizontal="center" vertical="center"/>
    </xf>
    <xf numFmtId="167" fontId="18" fillId="0" borderId="6" xfId="0" applyNumberFormat="1" applyFont="1" applyBorder="1" applyAlignment="1" applyProtection="1">
      <alignment horizontal="center" vertical="center"/>
    </xf>
    <xf numFmtId="167" fontId="18" fillId="0" borderId="4" xfId="0" applyNumberFormat="1" applyFont="1" applyBorder="1" applyAlignment="1" applyProtection="1">
      <alignment horizontal="center" vertical="center"/>
    </xf>
    <xf numFmtId="167" fontId="18" fillId="0" borderId="83" xfId="0" applyNumberFormat="1" applyFont="1" applyBorder="1" applyAlignment="1" applyProtection="1">
      <alignment horizontal="center" vertical="center"/>
    </xf>
    <xf numFmtId="0" fontId="0" fillId="0" borderId="0" xfId="0" applyBorder="1" applyAlignment="1">
      <alignment horizontal="left" vertical="top" wrapText="1" indent="1"/>
    </xf>
    <xf numFmtId="0" fontId="0" fillId="0" borderId="27" xfId="0" applyFont="1" applyFill="1" applyBorder="1" applyAlignment="1" applyProtection="1">
      <alignment wrapText="1"/>
      <protection locked="0"/>
    </xf>
    <xf numFmtId="0" fontId="30" fillId="18" borderId="113" xfId="0" applyFont="1" applyFill="1" applyBorder="1"/>
    <xf numFmtId="0" fontId="26" fillId="18" borderId="68" xfId="0" applyFont="1" applyFill="1" applyBorder="1" applyAlignment="1">
      <alignment horizontal="center" vertical="center"/>
    </xf>
    <xf numFmtId="0" fontId="26" fillId="18" borderId="104" xfId="0" applyFont="1" applyFill="1" applyBorder="1" applyAlignment="1">
      <alignment horizontal="center"/>
    </xf>
    <xf numFmtId="0" fontId="13" fillId="0" borderId="0" xfId="0" applyFont="1" applyBorder="1" applyAlignment="1">
      <alignment vertical="top" wrapText="1"/>
    </xf>
    <xf numFmtId="0" fontId="29" fillId="0" borderId="0" xfId="0" applyFont="1" applyProtection="1"/>
    <xf numFmtId="0" fontId="29" fillId="0" borderId="0" xfId="0" applyNumberFormat="1" applyFont="1" applyFill="1" applyProtection="1"/>
    <xf numFmtId="1" fontId="29" fillId="0" borderId="0" xfId="0" applyNumberFormat="1" applyFont="1" applyProtection="1"/>
    <xf numFmtId="0" fontId="0" fillId="0" borderId="114" xfId="0" applyBorder="1" applyAlignment="1">
      <alignment horizontal="left" vertical="top" wrapText="1" indent="1"/>
    </xf>
    <xf numFmtId="0" fontId="26" fillId="0" borderId="118" xfId="0" applyFont="1" applyBorder="1" applyAlignment="1">
      <alignment horizontal="left" vertical="top"/>
    </xf>
    <xf numFmtId="0" fontId="0" fillId="3" borderId="6" xfId="0" applyFont="1" applyFill="1" applyBorder="1" applyAlignment="1" applyProtection="1">
      <alignment horizontal="left" vertical="center" indent="1" shrinkToFit="1"/>
    </xf>
    <xf numFmtId="0" fontId="0" fillId="0" borderId="13" xfId="0" applyFont="1" applyBorder="1" applyProtection="1"/>
    <xf numFmtId="0" fontId="0" fillId="0" borderId="3" xfId="0" applyFont="1" applyBorder="1" applyProtection="1"/>
    <xf numFmtId="0" fontId="36" fillId="0" borderId="0" xfId="0" applyFont="1" applyProtection="1"/>
    <xf numFmtId="0" fontId="20" fillId="0" borderId="0" xfId="0" applyNumberFormat="1" applyFont="1" applyProtection="1"/>
    <xf numFmtId="0" fontId="19" fillId="11" borderId="29" xfId="0" applyFont="1" applyFill="1" applyBorder="1" applyAlignment="1">
      <alignment horizontal="center" vertical="center" wrapText="1"/>
    </xf>
    <xf numFmtId="168" fontId="29" fillId="0" borderId="0" xfId="0" applyNumberFormat="1" applyFont="1" applyAlignment="1" applyProtection="1">
      <alignment horizontal="center" vertical="center"/>
    </xf>
    <xf numFmtId="168" fontId="29" fillId="0" borderId="0" xfId="0" applyNumberFormat="1" applyFont="1" applyAlignment="1" applyProtection="1">
      <alignment horizontal="left" vertical="center" wrapText="1"/>
    </xf>
    <xf numFmtId="168" fontId="29" fillId="0" borderId="0" xfId="0" applyNumberFormat="1" applyFont="1" applyAlignment="1" applyProtection="1">
      <alignment horizontal="left" vertical="center"/>
    </xf>
    <xf numFmtId="0" fontId="29" fillId="0" borderId="0" xfId="0" applyFont="1" applyAlignment="1" applyProtection="1">
      <alignment vertical="top" wrapText="1"/>
    </xf>
    <xf numFmtId="0" fontId="0" fillId="7" borderId="6" xfId="0" applyFill="1" applyBorder="1" applyAlignment="1" applyProtection="1">
      <alignment horizontal="left" vertical="center" indent="1"/>
      <protection locked="0"/>
    </xf>
    <xf numFmtId="1" fontId="0" fillId="0" borderId="5" xfId="0" applyNumberFormat="1" applyFill="1" applyBorder="1" applyAlignment="1" applyProtection="1">
      <alignment horizontal="center" vertical="center"/>
    </xf>
    <xf numFmtId="0" fontId="0" fillId="0" borderId="7" xfId="0" applyFill="1" applyBorder="1" applyAlignment="1" applyProtection="1"/>
    <xf numFmtId="0" fontId="0" fillId="0" borderId="10" xfId="0" applyFill="1" applyBorder="1" applyAlignment="1" applyProtection="1"/>
    <xf numFmtId="0" fontId="0" fillId="0" borderId="6" xfId="0" applyBorder="1" applyAlignment="1" applyProtection="1">
      <alignment horizontal="right" vertical="center"/>
    </xf>
    <xf numFmtId="164" fontId="0" fillId="0" borderId="4" xfId="1" applyFont="1" applyBorder="1" applyAlignment="1" applyProtection="1">
      <alignment horizontal="right" vertical="center"/>
    </xf>
    <xf numFmtId="164" fontId="10" fillId="0" borderId="4" xfId="1" applyFont="1" applyBorder="1" applyAlignment="1" applyProtection="1">
      <alignment horizontal="right" vertical="center"/>
    </xf>
    <xf numFmtId="0" fontId="39" fillId="0" borderId="0" xfId="0" applyFont="1" applyAlignment="1">
      <alignment horizontal="center" vertical="center" wrapText="1"/>
    </xf>
    <xf numFmtId="0" fontId="0" fillId="0" borderId="0" xfId="0" applyFill="1" applyBorder="1" applyAlignment="1">
      <alignment horizontal="right" indent="1"/>
    </xf>
    <xf numFmtId="168" fontId="15" fillId="7" borderId="79" xfId="1" applyNumberFormat="1" applyFont="1" applyFill="1" applyBorder="1" applyAlignment="1" applyProtection="1">
      <alignment horizontal="center" vertical="center"/>
      <protection locked="0"/>
    </xf>
    <xf numFmtId="0" fontId="0" fillId="0" borderId="87" xfId="0" applyBorder="1" applyAlignment="1" applyProtection="1">
      <protection locked="0"/>
    </xf>
    <xf numFmtId="0" fontId="0" fillId="0" borderId="49" xfId="0" applyBorder="1" applyAlignment="1" applyProtection="1">
      <protection locked="0"/>
    </xf>
    <xf numFmtId="0" fontId="12" fillId="13" borderId="0" xfId="0" applyFont="1" applyFill="1" applyBorder="1" applyAlignment="1" applyProtection="1">
      <alignment horizontal="right" vertical="center" indent="1"/>
    </xf>
    <xf numFmtId="0" fontId="13" fillId="0" borderId="0" xfId="0" applyFont="1" applyBorder="1" applyAlignment="1" applyProtection="1">
      <alignment horizontal="right" indent="1"/>
    </xf>
    <xf numFmtId="0" fontId="13" fillId="0" borderId="86" xfId="0" applyFont="1" applyBorder="1" applyAlignment="1" applyProtection="1">
      <alignment horizontal="right" indent="1"/>
    </xf>
    <xf numFmtId="164" fontId="13" fillId="0" borderId="11" xfId="1" applyFont="1" applyBorder="1" applyAlignment="1" applyProtection="1">
      <alignment horizontal="center"/>
    </xf>
    <xf numFmtId="164" fontId="13" fillId="0" borderId="6" xfId="1" applyFont="1" applyBorder="1" applyAlignment="1" applyProtection="1">
      <alignment horizontal="center"/>
    </xf>
    <xf numFmtId="0" fontId="39" fillId="0" borderId="108" xfId="0" applyFont="1" applyFill="1" applyBorder="1" applyAlignment="1">
      <alignment horizontal="center"/>
    </xf>
    <xf numFmtId="0" fontId="18" fillId="13" borderId="0" xfId="0" applyFont="1" applyFill="1" applyBorder="1" applyAlignment="1" applyProtection="1">
      <alignment horizontal="center" vertical="center"/>
    </xf>
    <xf numFmtId="0" fontId="18" fillId="13" borderId="0" xfId="0" applyFont="1" applyFill="1" applyBorder="1" applyAlignment="1" applyProtection="1"/>
    <xf numFmtId="0" fontId="18" fillId="13" borderId="0" xfId="0" applyFont="1" applyFill="1" applyAlignment="1" applyProtection="1">
      <alignment horizontal="center" vertical="center"/>
    </xf>
    <xf numFmtId="164" fontId="18" fillId="13" borderId="81" xfId="1" applyFont="1" applyFill="1" applyBorder="1" applyAlignment="1" applyProtection="1">
      <alignment horizontal="center" vertical="center"/>
    </xf>
    <xf numFmtId="0" fontId="18" fillId="0" borderId="40"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6" xfId="0" applyFont="1" applyBorder="1" applyAlignment="1" applyProtection="1">
      <alignment horizontal="center" vertical="center"/>
    </xf>
    <xf numFmtId="0" fontId="18" fillId="0" borderId="11" xfId="0" applyFont="1" applyFill="1" applyBorder="1" applyAlignment="1" applyProtection="1">
      <alignment horizontal="center" vertical="center"/>
    </xf>
    <xf numFmtId="0" fontId="18" fillId="0" borderId="6" xfId="0" applyFont="1" applyFill="1" applyBorder="1" applyAlignment="1" applyProtection="1">
      <alignment horizontal="center" vertical="center"/>
    </xf>
    <xf numFmtId="49" fontId="18" fillId="0" borderId="11" xfId="1" applyNumberFormat="1" applyFont="1" applyBorder="1" applyAlignment="1" applyProtection="1">
      <alignment horizontal="center" vertical="center"/>
    </xf>
    <xf numFmtId="49" fontId="18" fillId="0" borderId="6" xfId="1" applyNumberFormat="1" applyFont="1" applyBorder="1" applyAlignment="1" applyProtection="1">
      <alignment horizontal="center" vertical="center"/>
    </xf>
    <xf numFmtId="164" fontId="18" fillId="0" borderId="11" xfId="1" applyFont="1" applyBorder="1" applyAlignment="1" applyProtection="1">
      <alignment horizontal="center" vertical="center"/>
    </xf>
    <xf numFmtId="164" fontId="18" fillId="0" borderId="6" xfId="1" applyFont="1" applyBorder="1" applyAlignment="1" applyProtection="1">
      <alignment horizontal="center" vertical="center"/>
    </xf>
    <xf numFmtId="164" fontId="18" fillId="0" borderId="4" xfId="1" applyFont="1" applyBorder="1" applyAlignment="1" applyProtection="1">
      <alignment horizontal="center" vertical="center"/>
    </xf>
    <xf numFmtId="0" fontId="13" fillId="0" borderId="38" xfId="0" applyFont="1" applyBorder="1" applyAlignment="1" applyProtection="1">
      <alignment horizontal="center"/>
    </xf>
    <xf numFmtId="0" fontId="13" fillId="0" borderId="0" xfId="0" applyFont="1" applyBorder="1" applyAlignment="1" applyProtection="1">
      <alignment horizontal="center"/>
    </xf>
    <xf numFmtId="0" fontId="13" fillId="0" borderId="39" xfId="0" applyFont="1" applyBorder="1" applyAlignment="1" applyProtection="1">
      <alignment horizontal="center"/>
    </xf>
    <xf numFmtId="0" fontId="18" fillId="0" borderId="4" xfId="0" applyFont="1" applyBorder="1" applyAlignment="1" applyProtection="1">
      <alignment horizontal="center" vertical="center" wrapText="1"/>
    </xf>
    <xf numFmtId="0" fontId="18" fillId="0" borderId="4" xfId="0" applyFont="1" applyBorder="1" applyAlignment="1" applyProtection="1">
      <alignment horizontal="center" vertical="center"/>
    </xf>
    <xf numFmtId="164" fontId="0" fillId="7" borderId="5" xfId="1" applyFont="1" applyFill="1" applyBorder="1" applyAlignment="1" applyProtection="1">
      <alignment horizontal="right" vertical="center"/>
      <protection locked="0"/>
    </xf>
    <xf numFmtId="164" fontId="0" fillId="7" borderId="10" xfId="1" applyFont="1" applyFill="1" applyBorder="1" applyAlignment="1" applyProtection="1">
      <alignment horizontal="right" vertical="center"/>
      <protection locked="0"/>
    </xf>
    <xf numFmtId="0" fontId="0" fillId="0" borderId="5" xfId="0" applyBorder="1" applyAlignment="1" applyProtection="1">
      <alignment horizontal="right" vertical="center"/>
    </xf>
    <xf numFmtId="0" fontId="0" fillId="0" borderId="10" xfId="0" applyBorder="1" applyAlignment="1" applyProtection="1">
      <alignment horizontal="right" vertical="center"/>
    </xf>
    <xf numFmtId="0" fontId="0" fillId="7" borderId="4" xfId="0" applyFill="1" applyBorder="1" applyAlignment="1" applyProtection="1">
      <alignment horizontal="left" vertical="center" indent="1"/>
      <protection locked="0"/>
    </xf>
    <xf numFmtId="0" fontId="27" fillId="13" borderId="0" xfId="0" applyFont="1" applyFill="1" applyAlignment="1" applyProtection="1">
      <alignment horizontal="center" vertical="center"/>
    </xf>
    <xf numFmtId="0" fontId="27" fillId="13" borderId="39" xfId="0" applyFont="1" applyFill="1" applyBorder="1" applyAlignment="1" applyProtection="1">
      <alignment horizontal="center" vertical="center"/>
    </xf>
    <xf numFmtId="14" fontId="0" fillId="7" borderId="4" xfId="0" applyNumberFormat="1" applyFill="1" applyBorder="1" applyAlignment="1" applyProtection="1">
      <alignment horizontal="left" vertical="center" indent="1"/>
      <protection locked="0"/>
    </xf>
    <xf numFmtId="0" fontId="16" fillId="11" borderId="78" xfId="0" applyFont="1" applyFill="1" applyBorder="1" applyAlignment="1">
      <alignment horizontal="center" vertical="center"/>
    </xf>
    <xf numFmtId="0" fontId="0" fillId="0" borderId="75" xfId="0" applyBorder="1" applyAlignment="1"/>
    <xf numFmtId="0" fontId="18" fillId="0" borderId="71" xfId="0" applyFont="1" applyBorder="1" applyAlignment="1"/>
    <xf numFmtId="0" fontId="0" fillId="0" borderId="80" xfId="0" applyBorder="1" applyAlignment="1"/>
    <xf numFmtId="0" fontId="0" fillId="0" borderId="14" xfId="0" applyBorder="1" applyAlignment="1"/>
    <xf numFmtId="0" fontId="0" fillId="0" borderId="8" xfId="0" applyBorder="1" applyAlignment="1"/>
    <xf numFmtId="0" fontId="18" fillId="0" borderId="78" xfId="0" applyFont="1" applyBorder="1" applyAlignment="1"/>
    <xf numFmtId="0" fontId="0" fillId="0" borderId="54" xfId="0" applyBorder="1" applyAlignment="1"/>
    <xf numFmtId="0" fontId="0" fillId="0" borderId="55" xfId="0" applyBorder="1" applyAlignment="1"/>
    <xf numFmtId="0" fontId="15" fillId="9" borderId="63" xfId="0" applyFont="1" applyFill="1" applyBorder="1" applyAlignment="1" applyProtection="1">
      <alignment horizontal="center"/>
    </xf>
    <xf numFmtId="0" fontId="15" fillId="9" borderId="91" xfId="0" applyFont="1" applyFill="1" applyBorder="1" applyAlignment="1" applyProtection="1">
      <alignment horizontal="center"/>
    </xf>
    <xf numFmtId="0" fontId="0" fillId="0" borderId="92" xfId="0" applyBorder="1" applyAlignment="1"/>
    <xf numFmtId="0" fontId="18" fillId="10" borderId="53" xfId="0" applyFont="1" applyFill="1" applyBorder="1" applyAlignment="1" applyProtection="1">
      <alignment horizontal="center"/>
    </xf>
    <xf numFmtId="0" fontId="18" fillId="10" borderId="7" xfId="0" applyFont="1" applyFill="1" applyBorder="1" applyAlignment="1" applyProtection="1">
      <alignment horizontal="center"/>
    </xf>
    <xf numFmtId="0" fontId="0" fillId="0" borderId="37" xfId="0" applyBorder="1" applyAlignment="1"/>
    <xf numFmtId="2" fontId="18" fillId="10" borderId="53" xfId="0" applyNumberFormat="1" applyFont="1" applyFill="1" applyBorder="1" applyAlignment="1" applyProtection="1">
      <alignment horizontal="center"/>
    </xf>
    <xf numFmtId="2" fontId="18" fillId="10" borderId="7" xfId="0" applyNumberFormat="1" applyFont="1" applyFill="1" applyBorder="1" applyAlignment="1" applyProtection="1">
      <alignment horizontal="center"/>
    </xf>
    <xf numFmtId="2" fontId="0" fillId="0" borderId="37" xfId="0" applyNumberFormat="1" applyBorder="1" applyAlignment="1"/>
    <xf numFmtId="0" fontId="15" fillId="7" borderId="72" xfId="0" applyFont="1" applyFill="1" applyBorder="1" applyAlignment="1" applyProtection="1">
      <alignment horizontal="center" vertical="center"/>
    </xf>
    <xf numFmtId="0" fontId="15" fillId="7" borderId="73" xfId="0" applyFont="1" applyFill="1" applyBorder="1" applyAlignment="1" applyProtection="1">
      <alignment horizontal="center" vertical="center"/>
    </xf>
    <xf numFmtId="0" fontId="15" fillId="7" borderId="74" xfId="0" applyFont="1" applyFill="1" applyBorder="1" applyAlignment="1" applyProtection="1">
      <alignment horizontal="center" vertical="center"/>
    </xf>
    <xf numFmtId="2" fontId="18" fillId="10" borderId="5" xfId="1" applyNumberFormat="1" applyFont="1" applyFill="1" applyBorder="1" applyAlignment="1" applyProtection="1">
      <alignment horizontal="center" vertical="center"/>
    </xf>
    <xf numFmtId="2" fontId="18" fillId="10" borderId="7" xfId="1" applyNumberFormat="1" applyFont="1" applyFill="1" applyBorder="1" applyAlignment="1" applyProtection="1">
      <alignment horizontal="center" vertical="center"/>
    </xf>
    <xf numFmtId="164" fontId="10" fillId="0" borderId="0" xfId="1" applyFont="1" applyBorder="1" applyAlignment="1" applyProtection="1">
      <alignment horizontal="right"/>
    </xf>
    <xf numFmtId="0" fontId="0" fillId="0" borderId="0" xfId="0" applyAlignment="1" applyProtection="1">
      <alignment horizontal="right"/>
    </xf>
    <xf numFmtId="0" fontId="15" fillId="11" borderId="41" xfId="0" applyFont="1" applyFill="1" applyBorder="1" applyAlignment="1">
      <alignment horizontal="center"/>
    </xf>
    <xf numFmtId="0" fontId="15" fillId="11" borderId="42" xfId="0" applyFont="1" applyFill="1" applyBorder="1" applyAlignment="1">
      <alignment horizontal="center"/>
    </xf>
    <xf numFmtId="0" fontId="15" fillId="0" borderId="34" xfId="0" applyFont="1" applyFill="1" applyBorder="1" applyAlignment="1">
      <alignment horizontal="center"/>
    </xf>
    <xf numFmtId="0" fontId="15" fillId="0" borderId="28" xfId="0" applyFont="1" applyFill="1" applyBorder="1" applyAlignment="1">
      <alignment horizontal="center"/>
    </xf>
    <xf numFmtId="0" fontId="15" fillId="0" borderId="43" xfId="0" applyFont="1" applyFill="1" applyBorder="1" applyAlignment="1">
      <alignment horizontal="center"/>
    </xf>
    <xf numFmtId="0" fontId="15" fillId="0" borderId="44" xfId="0" applyFont="1" applyFill="1" applyBorder="1" applyAlignment="1">
      <alignment horizontal="center"/>
    </xf>
    <xf numFmtId="0" fontId="15" fillId="11" borderId="41" xfId="0" applyFont="1" applyFill="1" applyBorder="1" applyAlignment="1">
      <alignment horizontal="center" vertical="center"/>
    </xf>
    <xf numFmtId="0" fontId="15" fillId="11" borderId="44" xfId="0" applyFont="1" applyFill="1" applyBorder="1" applyAlignment="1">
      <alignment horizontal="center" vertical="center"/>
    </xf>
    <xf numFmtId="0" fontId="15" fillId="0" borderId="88" xfId="0" applyFont="1" applyFill="1" applyBorder="1" applyAlignment="1" applyProtection="1">
      <alignment horizontal="right" vertical="center" indent="1"/>
    </xf>
    <xf numFmtId="0" fontId="13" fillId="0" borderId="7" xfId="0" applyFont="1" applyFill="1" applyBorder="1" applyAlignment="1">
      <alignment horizontal="right" indent="1"/>
    </xf>
    <xf numFmtId="0" fontId="13" fillId="0" borderId="60" xfId="0" applyFont="1" applyFill="1" applyBorder="1" applyAlignment="1">
      <alignment horizontal="right" indent="1"/>
    </xf>
    <xf numFmtId="0" fontId="16" fillId="11" borderId="63" xfId="0" applyFont="1" applyFill="1" applyBorder="1" applyAlignment="1">
      <alignment horizontal="center" vertical="center"/>
    </xf>
    <xf numFmtId="0" fontId="0" fillId="0" borderId="58" xfId="0" applyBorder="1" applyAlignment="1"/>
    <xf numFmtId="164" fontId="18" fillId="13" borderId="0" xfId="1" applyFont="1" applyFill="1" applyBorder="1" applyAlignment="1" applyProtection="1">
      <alignment horizontal="center" vertical="center"/>
    </xf>
    <xf numFmtId="0" fontId="18" fillId="0" borderId="88" xfId="0" applyFont="1" applyFill="1" applyBorder="1" applyAlignment="1" applyProtection="1">
      <alignment horizontal="right" vertical="center" indent="1"/>
    </xf>
    <xf numFmtId="0" fontId="0" fillId="0" borderId="7" xfId="0" applyFill="1" applyBorder="1" applyAlignment="1">
      <alignment horizontal="right" indent="1"/>
    </xf>
    <xf numFmtId="0" fontId="0" fillId="0" borderId="60" xfId="0" applyFill="1" applyBorder="1" applyAlignment="1">
      <alignment horizontal="right" indent="1"/>
    </xf>
    <xf numFmtId="0" fontId="18" fillId="0" borderId="89" xfId="0" applyFont="1" applyFill="1" applyBorder="1" applyAlignment="1" applyProtection="1">
      <alignment horizontal="right" vertical="center" indent="1"/>
    </xf>
    <xf numFmtId="0" fontId="0" fillId="0" borderId="54" xfId="0" applyFill="1" applyBorder="1" applyAlignment="1">
      <alignment horizontal="right" indent="1"/>
    </xf>
    <xf numFmtId="0" fontId="0" fillId="0" borderId="61" xfId="0" applyFill="1" applyBorder="1" applyAlignment="1">
      <alignment horizontal="right" indent="1"/>
    </xf>
    <xf numFmtId="0" fontId="0" fillId="0" borderId="90" xfId="0" applyBorder="1" applyAlignment="1" applyProtection="1"/>
    <xf numFmtId="0" fontId="0" fillId="0" borderId="91" xfId="0" applyBorder="1" applyAlignment="1"/>
    <xf numFmtId="0" fontId="20" fillId="0" borderId="0" xfId="0" applyFont="1" applyFill="1" applyBorder="1" applyAlignment="1">
      <alignment horizontal="right" vertical="center" indent="1"/>
    </xf>
    <xf numFmtId="0" fontId="18" fillId="0" borderId="51" xfId="0" applyFont="1" applyBorder="1" applyAlignment="1">
      <alignment horizontal="center"/>
    </xf>
    <xf numFmtId="0" fontId="18" fillId="0" borderId="52" xfId="0" applyFont="1" applyBorder="1" applyAlignment="1">
      <alignment horizontal="center"/>
    </xf>
    <xf numFmtId="0" fontId="18" fillId="0" borderId="50" xfId="0" applyFont="1" applyBorder="1" applyAlignment="1">
      <alignment horizontal="center"/>
    </xf>
    <xf numFmtId="0" fontId="18" fillId="13" borderId="50" xfId="0" applyFont="1" applyFill="1" applyBorder="1" applyAlignment="1" applyProtection="1">
      <alignment horizontal="right" vertical="center" indent="1"/>
    </xf>
    <xf numFmtId="0" fontId="18" fillId="13" borderId="62" xfId="0" applyFont="1" applyFill="1" applyBorder="1" applyAlignment="1" applyProtection="1">
      <alignment horizontal="right" vertical="center" indent="1"/>
    </xf>
    <xf numFmtId="2" fontId="18" fillId="3" borderId="10" xfId="1" applyNumberFormat="1" applyFont="1" applyFill="1" applyBorder="1" applyAlignment="1" applyProtection="1">
      <alignment horizontal="center"/>
    </xf>
    <xf numFmtId="2" fontId="18" fillId="3" borderId="4" xfId="1" applyNumberFormat="1" applyFont="1" applyFill="1" applyBorder="1" applyAlignment="1" applyProtection="1">
      <alignment horizontal="center"/>
    </xf>
    <xf numFmtId="0" fontId="18" fillId="0" borderId="5" xfId="0" applyFont="1" applyBorder="1" applyAlignment="1">
      <alignment horizontal="right" vertical="center" indent="1"/>
    </xf>
    <xf numFmtId="0" fontId="18" fillId="0" borderId="60" xfId="0" applyFont="1" applyBorder="1" applyAlignment="1">
      <alignment horizontal="right" vertical="center" indent="1"/>
    </xf>
    <xf numFmtId="164" fontId="18" fillId="0" borderId="0" xfId="1"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3" fillId="13" borderId="0" xfId="0" applyFont="1" applyFill="1" applyBorder="1" applyAlignment="1" applyProtection="1">
      <alignment horizontal="right" vertical="center" indent="1"/>
    </xf>
    <xf numFmtId="0" fontId="13" fillId="13" borderId="0" xfId="0" applyNumberFormat="1" applyFont="1" applyFill="1" applyBorder="1" applyAlignment="1" applyProtection="1">
      <alignment horizontal="right" vertical="center" indent="1"/>
    </xf>
    <xf numFmtId="0" fontId="26" fillId="13" borderId="0" xfId="0" applyFont="1" applyFill="1" applyBorder="1" applyAlignment="1" applyProtection="1">
      <alignment horizontal="center" vertical="center"/>
      <protection hidden="1"/>
    </xf>
    <xf numFmtId="164" fontId="18" fillId="0" borderId="100" xfId="1" applyFont="1" applyBorder="1" applyAlignment="1" applyProtection="1">
      <alignment horizontal="center" vertical="center"/>
    </xf>
    <xf numFmtId="164" fontId="18" fillId="0" borderId="101" xfId="1" applyFont="1" applyBorder="1" applyAlignment="1" applyProtection="1">
      <alignment horizontal="center" vertical="center"/>
    </xf>
    <xf numFmtId="164" fontId="18" fillId="0" borderId="103" xfId="1" applyFont="1" applyBorder="1" applyAlignment="1" applyProtection="1">
      <alignment horizontal="center" vertical="center"/>
    </xf>
    <xf numFmtId="164" fontId="18" fillId="0" borderId="38" xfId="1" applyFont="1" applyBorder="1" applyAlignment="1" applyProtection="1">
      <alignment horizontal="center" vertical="center"/>
    </xf>
    <xf numFmtId="164" fontId="18" fillId="0" borderId="0" xfId="1" applyFont="1" applyBorder="1" applyAlignment="1" applyProtection="1">
      <alignment horizontal="center" vertical="center"/>
    </xf>
    <xf numFmtId="164" fontId="18" fillId="0" borderId="95" xfId="1" applyFont="1" applyBorder="1" applyAlignment="1" applyProtection="1">
      <alignment horizontal="center" vertical="center"/>
    </xf>
    <xf numFmtId="2" fontId="18" fillId="0" borderId="105" xfId="0" applyNumberFormat="1" applyFont="1" applyFill="1" applyBorder="1" applyAlignment="1" applyProtection="1">
      <alignment horizontal="center" vertical="center"/>
    </xf>
    <xf numFmtId="2" fontId="18" fillId="0" borderId="46" xfId="0" applyNumberFormat="1" applyFont="1" applyFill="1" applyBorder="1" applyAlignment="1" applyProtection="1">
      <alignment horizontal="center" vertical="center"/>
    </xf>
    <xf numFmtId="2" fontId="18" fillId="0" borderId="96" xfId="0" applyNumberFormat="1" applyFont="1" applyFill="1" applyBorder="1" applyAlignment="1" applyProtection="1">
      <alignment horizontal="center" vertical="center"/>
    </xf>
    <xf numFmtId="0" fontId="18" fillId="13" borderId="14" xfId="0" applyFont="1" applyFill="1" applyBorder="1" applyAlignment="1" applyProtection="1">
      <alignment horizontal="center" vertical="center"/>
    </xf>
    <xf numFmtId="0" fontId="18" fillId="13" borderId="40" xfId="0" applyFont="1" applyFill="1" applyBorder="1" applyAlignment="1" applyProtection="1">
      <alignment horizontal="center" vertical="center"/>
    </xf>
    <xf numFmtId="0" fontId="18" fillId="13" borderId="99" xfId="0" applyFont="1" applyFill="1" applyBorder="1" applyAlignment="1" applyProtection="1">
      <alignment horizontal="center" vertical="center"/>
    </xf>
    <xf numFmtId="164" fontId="18" fillId="13" borderId="46" xfId="1" applyFont="1" applyFill="1" applyBorder="1" applyAlignment="1" applyProtection="1">
      <alignment horizontal="center" vertical="center"/>
    </xf>
    <xf numFmtId="164" fontId="18" fillId="13" borderId="96" xfId="1" applyFont="1" applyFill="1" applyBorder="1" applyAlignment="1" applyProtection="1">
      <alignment horizontal="center" vertical="center"/>
    </xf>
    <xf numFmtId="168" fontId="18" fillId="0" borderId="94" xfId="1" applyNumberFormat="1" applyFont="1" applyBorder="1" applyAlignment="1" applyProtection="1">
      <alignment horizontal="center" vertical="center"/>
    </xf>
    <xf numFmtId="168" fontId="18" fillId="0" borderId="0" xfId="1" applyNumberFormat="1" applyFont="1" applyBorder="1" applyAlignment="1" applyProtection="1">
      <alignment horizontal="center" vertical="center"/>
    </xf>
    <xf numFmtId="168" fontId="18" fillId="0" borderId="39" xfId="1" applyNumberFormat="1" applyFont="1" applyBorder="1" applyAlignment="1" applyProtection="1">
      <alignment horizontal="center" vertical="center"/>
    </xf>
    <xf numFmtId="168" fontId="18" fillId="0" borderId="97" xfId="1" applyNumberFormat="1" applyFont="1" applyBorder="1" applyAlignment="1" applyProtection="1">
      <alignment horizontal="center" vertical="center"/>
    </xf>
    <xf numFmtId="168" fontId="18" fillId="0" borderId="46" xfId="1" applyNumberFormat="1" applyFont="1" applyBorder="1" applyAlignment="1" applyProtection="1">
      <alignment horizontal="center" vertical="center"/>
    </xf>
    <xf numFmtId="168" fontId="18" fillId="0" borderId="106" xfId="1" applyNumberFormat="1" applyFont="1" applyBorder="1" applyAlignment="1" applyProtection="1">
      <alignment horizontal="center" vertical="center"/>
    </xf>
    <xf numFmtId="168" fontId="18" fillId="13" borderId="81" xfId="0" applyNumberFormat="1" applyFont="1" applyFill="1" applyBorder="1" applyAlignment="1" applyProtection="1">
      <alignment horizontal="center" vertical="center"/>
    </xf>
    <xf numFmtId="168" fontId="18" fillId="13" borderId="40" xfId="0" applyNumberFormat="1" applyFont="1" applyFill="1" applyBorder="1" applyAlignment="1" applyProtection="1">
      <alignment horizontal="center" vertical="center"/>
    </xf>
    <xf numFmtId="168" fontId="18" fillId="13" borderId="8" xfId="0" applyNumberFormat="1" applyFont="1" applyFill="1" applyBorder="1" applyAlignment="1" applyProtection="1">
      <alignment horizontal="center" vertical="center"/>
    </xf>
    <xf numFmtId="0" fontId="18" fillId="0" borderId="100" xfId="0" applyFont="1" applyFill="1" applyBorder="1" applyAlignment="1" applyProtection="1">
      <alignment horizontal="center" vertical="center"/>
    </xf>
    <xf numFmtId="0" fontId="18" fillId="0" borderId="101" xfId="0" applyFont="1" applyFill="1" applyBorder="1" applyAlignment="1" applyProtection="1">
      <alignment horizontal="center" vertical="center"/>
    </xf>
    <xf numFmtId="0" fontId="18" fillId="0" borderId="103" xfId="0" applyFont="1" applyFill="1" applyBorder="1" applyAlignment="1" applyProtection="1">
      <alignment horizontal="center" vertical="center"/>
    </xf>
    <xf numFmtId="168" fontId="18" fillId="0" borderId="102" xfId="1" applyNumberFormat="1" applyFont="1" applyBorder="1" applyAlignment="1" applyProtection="1">
      <alignment horizontal="center" vertical="center"/>
    </xf>
    <xf numFmtId="168" fontId="18" fillId="0" borderId="101" xfId="1" applyNumberFormat="1" applyFont="1" applyBorder="1" applyAlignment="1" applyProtection="1">
      <alignment horizontal="center" vertical="center"/>
    </xf>
    <xf numFmtId="168" fontId="18" fillId="0" borderId="98" xfId="1" applyNumberFormat="1" applyFont="1" applyBorder="1" applyAlignment="1" applyProtection="1">
      <alignment horizontal="center" vertical="center"/>
    </xf>
    <xf numFmtId="167" fontId="18" fillId="0" borderId="38" xfId="0" applyNumberFormat="1" applyFont="1" applyFill="1" applyBorder="1" applyAlignment="1" applyProtection="1">
      <alignment horizontal="center" vertical="center" wrapText="1"/>
    </xf>
    <xf numFmtId="167" fontId="18" fillId="0" borderId="0" xfId="0" applyNumberFormat="1" applyFont="1" applyFill="1" applyBorder="1" applyAlignment="1" applyProtection="1">
      <alignment horizontal="center" vertical="center" wrapText="1"/>
    </xf>
    <xf numFmtId="167" fontId="18" fillId="0" borderId="95" xfId="0" applyNumberFormat="1" applyFont="1" applyFill="1" applyBorder="1" applyAlignment="1" applyProtection="1">
      <alignment horizontal="center" vertical="center" wrapText="1"/>
    </xf>
    <xf numFmtId="2" fontId="18" fillId="0" borderId="38" xfId="0" applyNumberFormat="1" applyFont="1" applyFill="1" applyBorder="1" applyAlignment="1" applyProtection="1">
      <alignment horizontal="center" vertical="center"/>
    </xf>
    <xf numFmtId="2" fontId="18" fillId="0" borderId="0" xfId="0" applyNumberFormat="1" applyFont="1" applyFill="1" applyBorder="1" applyAlignment="1" applyProtection="1">
      <alignment horizontal="center" vertical="center"/>
    </xf>
    <xf numFmtId="2" fontId="18" fillId="0" borderId="95" xfId="0" applyNumberFormat="1" applyFont="1" applyFill="1" applyBorder="1" applyAlignment="1" applyProtection="1">
      <alignment horizontal="center" vertical="center"/>
    </xf>
    <xf numFmtId="0" fontId="26" fillId="11" borderId="110" xfId="0" applyFont="1" applyFill="1" applyBorder="1" applyAlignment="1">
      <alignment horizontal="center" vertical="center" wrapText="1"/>
    </xf>
    <xf numFmtId="0" fontId="26" fillId="11" borderId="111" xfId="0" applyFont="1" applyFill="1" applyBorder="1" applyAlignment="1">
      <alignment horizontal="center" vertical="center"/>
    </xf>
    <xf numFmtId="0" fontId="26" fillId="11" borderId="65" xfId="0" applyFont="1" applyFill="1" applyBorder="1" applyAlignment="1">
      <alignment horizontal="center" vertical="center"/>
    </xf>
    <xf numFmtId="164" fontId="18" fillId="0" borderId="105" xfId="1" applyFont="1" applyBorder="1" applyAlignment="1" applyProtection="1">
      <alignment horizontal="center" vertical="center"/>
    </xf>
    <xf numFmtId="164" fontId="18" fillId="0" borderId="46" xfId="1" applyFont="1" applyBorder="1" applyAlignment="1" applyProtection="1">
      <alignment horizontal="center" vertical="center"/>
    </xf>
    <xf numFmtId="164" fontId="18" fillId="0" borderId="96" xfId="1" applyFont="1" applyBorder="1" applyAlignment="1" applyProtection="1">
      <alignment horizontal="center" vertical="center"/>
    </xf>
    <xf numFmtId="0" fontId="18" fillId="13" borderId="46" xfId="0" applyFont="1" applyFill="1" applyBorder="1" applyAlignment="1" applyProtection="1">
      <alignment horizontal="center" vertical="center"/>
    </xf>
    <xf numFmtId="164" fontId="10" fillId="13" borderId="0" xfId="1" applyFont="1" applyFill="1" applyAlignment="1">
      <alignment horizontal="center"/>
    </xf>
    <xf numFmtId="167" fontId="18" fillId="0" borderId="38" xfId="0" applyNumberFormat="1" applyFont="1" applyBorder="1" applyAlignment="1" applyProtection="1">
      <alignment horizontal="right" vertical="center"/>
    </xf>
    <xf numFmtId="167" fontId="18" fillId="0" borderId="0" xfId="0" applyNumberFormat="1" applyFont="1" applyBorder="1" applyAlignment="1" applyProtection="1">
      <alignment horizontal="right" vertical="center"/>
    </xf>
    <xf numFmtId="167" fontId="18" fillId="0" borderId="105" xfId="0" applyNumberFormat="1" applyFont="1" applyBorder="1" applyAlignment="1" applyProtection="1">
      <alignment horizontal="right" vertical="center"/>
    </xf>
    <xf numFmtId="167" fontId="18" fillId="0" borderId="46" xfId="0" applyNumberFormat="1" applyFont="1" applyBorder="1" applyAlignment="1" applyProtection="1">
      <alignment horizontal="right" vertical="center"/>
    </xf>
    <xf numFmtId="167" fontId="18" fillId="13" borderId="14" xfId="0" applyNumberFormat="1" applyFont="1" applyFill="1" applyBorder="1" applyAlignment="1" applyProtection="1">
      <alignment horizontal="right" vertical="center"/>
    </xf>
    <xf numFmtId="167" fontId="18" fillId="13" borderId="40" xfId="0" applyNumberFormat="1" applyFont="1" applyFill="1" applyBorder="1" applyAlignment="1" applyProtection="1">
      <alignment horizontal="right" vertical="center"/>
    </xf>
    <xf numFmtId="164" fontId="18" fillId="13" borderId="97" xfId="1" applyFont="1" applyFill="1" applyBorder="1" applyAlignment="1" applyProtection="1">
      <alignment horizontal="center" vertical="center"/>
    </xf>
    <xf numFmtId="0" fontId="0" fillId="0" borderId="0" xfId="0" applyAlignment="1">
      <alignment horizontal="center"/>
    </xf>
    <xf numFmtId="0" fontId="30" fillId="13" borderId="0" xfId="0" applyFont="1" applyFill="1" applyBorder="1" applyAlignment="1" applyProtection="1">
      <alignment horizontal="center" vertical="center"/>
      <protection hidden="1"/>
    </xf>
    <xf numFmtId="0" fontId="26" fillId="15" borderId="14" xfId="0" applyFont="1" applyFill="1" applyBorder="1" applyAlignment="1" applyProtection="1">
      <alignment horizontal="center" vertical="center"/>
      <protection hidden="1"/>
    </xf>
    <xf numFmtId="0" fontId="26" fillId="15" borderId="40" xfId="0" applyFont="1" applyFill="1" applyBorder="1" applyAlignment="1" applyProtection="1">
      <alignment horizontal="center" vertical="center"/>
      <protection hidden="1"/>
    </xf>
    <xf numFmtId="0" fontId="0" fillId="13" borderId="0" xfId="0" applyFill="1" applyBorder="1" applyAlignment="1">
      <alignment horizontal="center"/>
    </xf>
    <xf numFmtId="2" fontId="2" fillId="15" borderId="14" xfId="0" applyNumberFormat="1" applyFont="1" applyFill="1" applyBorder="1" applyAlignment="1" applyProtection="1">
      <alignment horizontal="center" vertical="center"/>
      <protection hidden="1"/>
    </xf>
    <xf numFmtId="2" fontId="2" fillId="15" borderId="8" xfId="0" applyNumberFormat="1" applyFont="1" applyFill="1" applyBorder="1" applyAlignment="1" applyProtection="1">
      <alignment horizontal="center" vertical="center"/>
      <protection hidden="1"/>
    </xf>
    <xf numFmtId="2" fontId="2" fillId="13" borderId="11" xfId="0" applyNumberFormat="1" applyFont="1" applyFill="1" applyBorder="1" applyAlignment="1" applyProtection="1">
      <alignment horizontal="center" vertical="center"/>
      <protection hidden="1"/>
    </xf>
    <xf numFmtId="2" fontId="2" fillId="13" borderId="6" xfId="0" applyNumberFormat="1" applyFont="1" applyFill="1" applyBorder="1" applyAlignment="1" applyProtection="1">
      <alignment horizontal="center" vertical="center"/>
      <protection hidden="1"/>
    </xf>
    <xf numFmtId="167" fontId="34" fillId="13" borderId="80" xfId="0" applyNumberFormat="1" applyFont="1" applyFill="1" applyBorder="1" applyAlignment="1" applyProtection="1">
      <alignment horizontal="left" wrapText="1"/>
      <protection hidden="1"/>
    </xf>
    <xf numFmtId="167" fontId="34" fillId="13" borderId="8" xfId="0" applyNumberFormat="1" applyFont="1" applyFill="1" applyBorder="1" applyAlignment="1" applyProtection="1">
      <alignment horizontal="left"/>
      <protection hidden="1"/>
    </xf>
    <xf numFmtId="0" fontId="30" fillId="15" borderId="45" xfId="0" applyFont="1" applyFill="1" applyBorder="1" applyAlignment="1" applyProtection="1">
      <alignment horizontal="center" vertical="center"/>
    </xf>
    <xf numFmtId="0" fontId="30" fillId="15" borderId="0" xfId="0" applyFont="1" applyFill="1" applyBorder="1" applyAlignment="1" applyProtection="1">
      <alignment horizontal="center" vertical="center"/>
    </xf>
    <xf numFmtId="0" fontId="5" fillId="2" borderId="4" xfId="0" applyFont="1" applyFill="1" applyBorder="1" applyAlignment="1" applyProtection="1">
      <alignment horizontal="center"/>
      <protection hidden="1"/>
    </xf>
    <xf numFmtId="0" fontId="26" fillId="13" borderId="0" xfId="0" applyFont="1" applyFill="1" applyBorder="1" applyAlignment="1">
      <alignment horizontal="center" vertical="center"/>
    </xf>
    <xf numFmtId="0" fontId="0" fillId="0" borderId="71" xfId="0" applyBorder="1" applyAlignment="1">
      <alignment horizontal="left" vertical="center" wrapText="1"/>
    </xf>
    <xf numFmtId="0" fontId="0" fillId="0" borderId="45" xfId="0" applyBorder="1" applyAlignment="1">
      <alignment horizontal="left" vertical="center" wrapText="1"/>
    </xf>
    <xf numFmtId="0" fontId="0" fillId="0" borderId="80" xfId="0" applyBorder="1" applyAlignment="1">
      <alignment horizontal="left" vertical="center" wrapText="1"/>
    </xf>
    <xf numFmtId="0" fontId="0" fillId="0" borderId="38" xfId="0" applyBorder="1" applyAlignment="1">
      <alignment horizontal="left" vertical="center" wrapText="1"/>
    </xf>
    <xf numFmtId="0" fontId="0" fillId="0" borderId="0" xfId="0" applyBorder="1" applyAlignment="1">
      <alignment horizontal="left" vertical="center" wrapText="1"/>
    </xf>
    <xf numFmtId="0" fontId="0" fillId="0" borderId="39" xfId="0" applyBorder="1" applyAlignment="1">
      <alignment horizontal="left" vertical="center" wrapText="1"/>
    </xf>
    <xf numFmtId="0" fontId="0" fillId="0" borderId="14" xfId="0" applyBorder="1" applyAlignment="1">
      <alignment horizontal="left" vertical="center" wrapText="1"/>
    </xf>
    <xf numFmtId="0" fontId="0" fillId="0" borderId="40" xfId="0" applyBorder="1" applyAlignment="1">
      <alignment horizontal="left" vertical="center" wrapText="1"/>
    </xf>
    <xf numFmtId="0" fontId="0" fillId="0" borderId="8" xfId="0" applyBorder="1" applyAlignment="1">
      <alignment horizontal="left" vertical="center" wrapText="1"/>
    </xf>
    <xf numFmtId="0" fontId="13" fillId="0" borderId="0" xfId="0" applyFont="1" applyBorder="1" applyAlignment="1" applyProtection="1">
      <alignment horizontal="left" vertical="top" wrapText="1" indent="1"/>
    </xf>
    <xf numFmtId="0" fontId="0" fillId="0" borderId="0" xfId="0" applyBorder="1" applyAlignment="1" applyProtection="1">
      <alignment horizontal="left" vertical="top" wrapText="1" indent="1"/>
    </xf>
    <xf numFmtId="0" fontId="4" fillId="13" borderId="0" xfId="0" applyFont="1" applyFill="1" applyBorder="1" applyAlignment="1" applyProtection="1">
      <alignment horizontal="center" vertical="center"/>
      <protection hidden="1"/>
    </xf>
    <xf numFmtId="0" fontId="4" fillId="13" borderId="86" xfId="0" applyFont="1" applyFill="1" applyBorder="1" applyAlignment="1" applyProtection="1">
      <alignment horizontal="center" vertical="center"/>
      <protection hidden="1"/>
    </xf>
    <xf numFmtId="0" fontId="28" fillId="0" borderId="0" xfId="0" applyFont="1" applyFill="1" applyBorder="1" applyAlignment="1">
      <alignment horizontal="right" vertical="center"/>
    </xf>
    <xf numFmtId="0" fontId="28" fillId="0" borderId="0" xfId="0" applyFont="1" applyFill="1" applyBorder="1" applyAlignment="1">
      <alignment horizontal="center" vertical="center"/>
    </xf>
    <xf numFmtId="0" fontId="2" fillId="0" borderId="5"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protection hidden="1"/>
    </xf>
    <xf numFmtId="2" fontId="2" fillId="15" borderId="71" xfId="0" applyNumberFormat="1" applyFont="1" applyFill="1" applyBorder="1" applyAlignment="1" applyProtection="1">
      <alignment horizontal="center" vertical="center"/>
      <protection hidden="1"/>
    </xf>
    <xf numFmtId="2" fontId="2" fillId="15" borderId="80" xfId="0" applyNumberFormat="1" applyFont="1" applyFill="1" applyBorder="1" applyAlignment="1" applyProtection="1">
      <alignment horizontal="center" vertical="center"/>
      <protection hidden="1"/>
    </xf>
    <xf numFmtId="2" fontId="2" fillId="13" borderId="39" xfId="0" applyNumberFormat="1" applyFont="1" applyFill="1" applyBorder="1" applyAlignment="1" applyProtection="1">
      <alignment horizontal="center" vertical="center"/>
      <protection hidden="1"/>
    </xf>
    <xf numFmtId="2" fontId="2" fillId="15" borderId="38" xfId="0" applyNumberFormat="1" applyFont="1" applyFill="1" applyBorder="1" applyAlignment="1" applyProtection="1">
      <alignment horizontal="center" vertical="center"/>
      <protection hidden="1"/>
    </xf>
    <xf numFmtId="2" fontId="2" fillId="15" borderId="39" xfId="0" applyNumberFormat="1" applyFont="1" applyFill="1" applyBorder="1" applyAlignment="1" applyProtection="1">
      <alignment horizontal="center" vertical="center"/>
      <protection hidden="1"/>
    </xf>
    <xf numFmtId="0" fontId="0" fillId="16" borderId="0" xfId="0" applyFill="1" applyBorder="1" applyAlignment="1" applyProtection="1">
      <alignment horizontal="center"/>
      <protection hidden="1"/>
    </xf>
    <xf numFmtId="167" fontId="34" fillId="13" borderId="80" xfId="0" applyNumberFormat="1" applyFont="1" applyFill="1" applyBorder="1" applyAlignment="1" applyProtection="1">
      <alignment vertical="center" wrapText="1"/>
      <protection hidden="1"/>
    </xf>
    <xf numFmtId="167" fontId="34" fillId="13" borderId="39" xfId="0" applyNumberFormat="1" applyFont="1" applyFill="1" applyBorder="1" applyAlignment="1" applyProtection="1">
      <alignment vertical="center"/>
      <protection hidden="1"/>
    </xf>
    <xf numFmtId="0" fontId="0" fillId="13" borderId="0" xfId="0" applyFont="1" applyFill="1" applyBorder="1" applyAlignment="1">
      <alignment horizontal="center" vertical="center"/>
    </xf>
    <xf numFmtId="0" fontId="0" fillId="13" borderId="86" xfId="0" applyFont="1" applyFill="1" applyBorder="1" applyAlignment="1">
      <alignment horizontal="center" vertical="center"/>
    </xf>
    <xf numFmtId="0" fontId="18" fillId="13" borderId="0" xfId="0" applyFont="1" applyFill="1" applyAlignment="1">
      <alignment horizontal="center"/>
    </xf>
    <xf numFmtId="0" fontId="1" fillId="13" borderId="115" xfId="0" applyFont="1" applyFill="1" applyBorder="1" applyAlignment="1">
      <alignment horizontal="center" vertical="center"/>
    </xf>
    <xf numFmtId="0" fontId="1" fillId="13" borderId="116" xfId="0" applyFont="1" applyFill="1" applyBorder="1" applyAlignment="1">
      <alignment horizontal="center" vertical="center"/>
    </xf>
    <xf numFmtId="0" fontId="1" fillId="13" borderId="117" xfId="0" applyFont="1" applyFill="1" applyBorder="1" applyAlignment="1">
      <alignment horizontal="center" vertical="center"/>
    </xf>
  </cellXfs>
  <cellStyles count="3">
    <cellStyle name="Comma" xfId="1" builtinId="3"/>
    <cellStyle name="Normal" xfId="0" builtinId="0"/>
    <cellStyle name="Standard 2" xfId="2"/>
  </cellStyles>
  <dxfs count="7">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colors>
    <mruColors>
      <color rgb="FFF6F7C5"/>
      <color rgb="FFF6FADE"/>
      <color rgb="FFEDEDCF"/>
      <color rgb="FFE9EDDB"/>
      <color rgb="FFC3D3E3"/>
      <color rgb="FFD0D8B2"/>
      <color rgb="FFF1F173"/>
      <color rgb="FFD8DEA2"/>
      <color rgb="FFEAED7F"/>
      <color rgb="FFDAE4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Planungsblatt!$N$7:$N$11</c:f>
              <c:strCache>
                <c:ptCount val="5"/>
                <c:pt idx="0">
                  <c:v>Sehr gut</c:v>
                </c:pt>
                <c:pt idx="1">
                  <c:v>Gut</c:v>
                </c:pt>
                <c:pt idx="2">
                  <c:v>Befriedigend</c:v>
                </c:pt>
                <c:pt idx="3">
                  <c:v>Genügend</c:v>
                </c:pt>
                <c:pt idx="4">
                  <c:v>Nicht genügend</c:v>
                </c:pt>
              </c:strCache>
            </c:strRef>
          </c:tx>
          <c:spPr>
            <a:ln>
              <a:solidFill>
                <a:sysClr val="windowText" lastClr="000000"/>
              </a:solidFill>
            </a:ln>
          </c:spPr>
          <c:dPt>
            <c:idx val="0"/>
            <c:bubble3D val="0"/>
            <c:spPr>
              <a:solidFill>
                <a:srgbClr val="66FF66"/>
              </a:solidFill>
              <a:ln>
                <a:solidFill>
                  <a:sysClr val="windowText" lastClr="000000"/>
                </a:solidFill>
              </a:ln>
            </c:spPr>
          </c:dPt>
          <c:dPt>
            <c:idx val="1"/>
            <c:bubble3D val="0"/>
            <c:spPr>
              <a:solidFill>
                <a:srgbClr val="99FFCC"/>
              </a:solidFill>
              <a:ln>
                <a:solidFill>
                  <a:sysClr val="windowText" lastClr="000000"/>
                </a:solidFill>
              </a:ln>
            </c:spPr>
          </c:dPt>
          <c:dPt>
            <c:idx val="2"/>
            <c:bubble3D val="0"/>
            <c:spPr>
              <a:solidFill>
                <a:srgbClr val="66CCFF"/>
              </a:solidFill>
              <a:ln>
                <a:solidFill>
                  <a:sysClr val="windowText" lastClr="000000"/>
                </a:solidFill>
              </a:ln>
            </c:spPr>
          </c:dPt>
          <c:dPt>
            <c:idx val="3"/>
            <c:bubble3D val="0"/>
            <c:spPr>
              <a:solidFill>
                <a:srgbClr val="FF9999"/>
              </a:solidFill>
              <a:ln>
                <a:solidFill>
                  <a:sysClr val="windowText" lastClr="000000"/>
                </a:solidFill>
              </a:ln>
            </c:spPr>
          </c:dPt>
          <c:dPt>
            <c:idx val="4"/>
            <c:bubble3D val="0"/>
            <c:spPr>
              <a:solidFill>
                <a:srgbClr val="FF0000"/>
              </a:solidFill>
              <a:ln>
                <a:solidFill>
                  <a:sysClr val="windowText" lastClr="000000"/>
                </a:solidFill>
              </a:ln>
            </c:spPr>
          </c:dPt>
          <c:dLbls>
            <c:numFmt formatCode="0.0%" sourceLinked="0"/>
            <c:spPr>
              <a:noFill/>
              <a:ln>
                <a:noFill/>
              </a:ln>
              <a:effectLst/>
            </c:spPr>
            <c:txPr>
              <a:bodyPr/>
              <a:lstStyle/>
              <a:p>
                <a:pPr>
                  <a:defRPr lang="de-AT"/>
                </a:pPr>
                <a:endParaRPr lang="en-US"/>
              </a:p>
            </c:txPr>
            <c:showLegendKey val="0"/>
            <c:showVal val="0"/>
            <c:showCatName val="0"/>
            <c:showSerName val="0"/>
            <c:showPercent val="1"/>
            <c:showBubbleSize val="0"/>
            <c:separator> </c:separator>
            <c:showLeaderLines val="1"/>
            <c:extLst>
              <c:ext xmlns:c15="http://schemas.microsoft.com/office/drawing/2012/chart" uri="{CE6537A1-D6FC-4f65-9D91-7224C49458BB}">
                <c15:layout/>
              </c:ext>
            </c:extLst>
          </c:dLbls>
          <c:cat>
            <c:strRef>
              <c:f>Planungsblatt!$N$7:$N$11</c:f>
              <c:strCache>
                <c:ptCount val="5"/>
                <c:pt idx="0">
                  <c:v>Sehr gut</c:v>
                </c:pt>
                <c:pt idx="1">
                  <c:v>Gut</c:v>
                </c:pt>
                <c:pt idx="2">
                  <c:v>Befriedigend</c:v>
                </c:pt>
                <c:pt idx="3">
                  <c:v>Genügend</c:v>
                </c:pt>
                <c:pt idx="4">
                  <c:v>Nicht genügend</c:v>
                </c:pt>
              </c:strCache>
            </c:strRef>
          </c:cat>
          <c:val>
            <c:numRef>
              <c:f>Planungsblatt!$O$7:$O$11</c:f>
              <c:numCache>
                <c:formatCode>#,##0_ ;\-#,##0\ </c:formatCode>
                <c:ptCount val="5"/>
                <c:pt idx="0">
                  <c:v>0</c:v>
                </c:pt>
                <c:pt idx="1">
                  <c:v>0</c:v>
                </c:pt>
                <c:pt idx="2">
                  <c:v>0</c:v>
                </c:pt>
                <c:pt idx="3">
                  <c:v>0</c:v>
                </c:pt>
                <c:pt idx="4">
                  <c:v>0</c:v>
                </c:pt>
              </c:numCache>
            </c:numRef>
          </c:val>
        </c:ser>
        <c:dLbls>
          <c:showLegendKey val="0"/>
          <c:showVal val="1"/>
          <c:showCatName val="0"/>
          <c:showSerName val="0"/>
          <c:showPercent val="0"/>
          <c:showBubbleSize val="0"/>
          <c:showLeaderLines val="1"/>
        </c:dLbls>
        <c:firstSliceAng val="0"/>
      </c:pieChart>
    </c:plotArea>
    <c:legend>
      <c:legendPos val="r"/>
      <c:layout/>
      <c:overlay val="0"/>
      <c:txPr>
        <a:bodyPr/>
        <a:lstStyle/>
        <a:p>
          <a:pPr rtl="0">
            <a:defRPr lang="de-AT"/>
          </a:pPr>
          <a:endParaRPr lang="en-US"/>
        </a:p>
      </c:txPr>
    </c:legend>
    <c:plotVisOnly val="1"/>
    <c:dispBlanksAs val="zero"/>
    <c:showDLblsOverMax val="0"/>
  </c:chart>
  <c:spPr>
    <a:solidFill>
      <a:schemeClr val="bg1">
        <a:lumMod val="95000"/>
      </a:schemeClr>
    </a:solidFill>
  </c:spPr>
  <c:printSettings>
    <c:headerFooter/>
    <c:pageMargins b="0.78740157499999996" l="0.70000000000000151" r="0.70000000000000151" t="0.7874015749999999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Planungsblatt!$N$27:$N$31</c:f>
              <c:strCache>
                <c:ptCount val="5"/>
                <c:pt idx="0">
                  <c:v>Lesen</c:v>
                </c:pt>
                <c:pt idx="1">
                  <c:v>Hören</c:v>
                </c:pt>
                <c:pt idx="2">
                  <c:v>SIK</c:v>
                </c:pt>
                <c:pt idx="3">
                  <c:v>Schreiben 1</c:v>
                </c:pt>
                <c:pt idx="4">
                  <c:v>Schreiben 2</c:v>
                </c:pt>
              </c:strCache>
            </c:strRef>
          </c:cat>
          <c:val>
            <c:numRef>
              <c:f>Klassenübersicht!$E$52:$I$52</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6074840"/>
        <c:axId val="416076800"/>
      </c:barChart>
      <c:catAx>
        <c:axId val="416074840"/>
        <c:scaling>
          <c:orientation val="minMax"/>
        </c:scaling>
        <c:delete val="0"/>
        <c:axPos val="b"/>
        <c:numFmt formatCode="General" sourceLinked="0"/>
        <c:majorTickMark val="out"/>
        <c:minorTickMark val="none"/>
        <c:tickLblPos val="nextTo"/>
        <c:txPr>
          <a:bodyPr/>
          <a:lstStyle/>
          <a:p>
            <a:pPr>
              <a:defRPr lang="de-AT"/>
            </a:pPr>
            <a:endParaRPr lang="en-US"/>
          </a:p>
        </c:txPr>
        <c:crossAx val="416076800"/>
        <c:crosses val="autoZero"/>
        <c:auto val="1"/>
        <c:lblAlgn val="ctr"/>
        <c:lblOffset val="100"/>
        <c:noMultiLvlLbl val="0"/>
      </c:catAx>
      <c:valAx>
        <c:axId val="416076800"/>
        <c:scaling>
          <c:orientation val="minMax"/>
        </c:scaling>
        <c:delete val="0"/>
        <c:axPos val="l"/>
        <c:majorGridlines/>
        <c:title>
          <c:tx>
            <c:rich>
              <a:bodyPr rot="0" vert="horz"/>
              <a:lstStyle/>
              <a:p>
                <a:pPr>
                  <a:defRPr lang="de-AT" b="0"/>
                </a:pPr>
                <a:r>
                  <a:rPr lang="en-US" b="0"/>
                  <a:t>in</a:t>
                </a:r>
                <a:r>
                  <a:rPr lang="en-US" b="0" baseline="0"/>
                  <a:t> %</a:t>
                </a:r>
                <a:r>
                  <a:rPr lang="en-US" b="0"/>
                  <a:t>  </a:t>
                </a:r>
              </a:p>
            </c:rich>
          </c:tx>
          <c:overlay val="0"/>
        </c:title>
        <c:numFmt formatCode="0.0" sourceLinked="1"/>
        <c:majorTickMark val="out"/>
        <c:minorTickMark val="none"/>
        <c:tickLblPos val="nextTo"/>
        <c:txPr>
          <a:bodyPr/>
          <a:lstStyle/>
          <a:p>
            <a:pPr>
              <a:defRPr lang="de-AT"/>
            </a:pPr>
            <a:endParaRPr lang="en-US"/>
          </a:p>
        </c:txPr>
        <c:crossAx val="416074840"/>
        <c:crosses val="autoZero"/>
        <c:crossBetween val="between"/>
        <c:majorUnit val="20"/>
      </c:valAx>
    </c:plotArea>
    <c:plotVisOnly val="1"/>
    <c:dispBlanksAs val="gap"/>
    <c:showDLblsOverMax val="0"/>
  </c:chart>
  <c:spPr>
    <a:solidFill>
      <a:schemeClr val="bg1">
        <a:lumMod val="95000"/>
      </a:schemeClr>
    </a:solidFill>
  </c:spPr>
  <c:printSettings>
    <c:headerFooter/>
    <c:pageMargins b="0.78740157499999996" l="0.70000000000000151" r="0.70000000000000151" t="0.7874015749999999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Einzel!$C$9</c:f>
              <c:strCache>
                <c:ptCount val="1"/>
                <c:pt idx="0">
                  <c:v>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Einzel!$L$18:$L$22</c:f>
              <c:strCache>
                <c:ptCount val="5"/>
                <c:pt idx="0">
                  <c:v>Lesen</c:v>
                </c:pt>
                <c:pt idx="1">
                  <c:v>Hören</c:v>
                </c:pt>
                <c:pt idx="2">
                  <c:v>SIK</c:v>
                </c:pt>
                <c:pt idx="3">
                  <c:v>Schreiben 1</c:v>
                </c:pt>
                <c:pt idx="4">
                  <c:v>Schreiben 2</c:v>
                </c:pt>
              </c:strCache>
            </c:strRef>
          </c:cat>
          <c:val>
            <c:numRef>
              <c:f>Einzel!$N$18:$N$22</c:f>
              <c:numCache>
                <c:formatCode>0.00</c:formatCode>
                <c:ptCount val="5"/>
                <c:pt idx="0">
                  <c:v>0</c:v>
                </c:pt>
                <c:pt idx="1">
                  <c:v>0</c:v>
                </c:pt>
                <c:pt idx="2">
                  <c:v>0</c:v>
                </c:pt>
                <c:pt idx="3">
                  <c:v>0</c:v>
                </c:pt>
                <c:pt idx="4">
                  <c:v>0</c:v>
                </c:pt>
              </c:numCache>
            </c:numRef>
          </c:val>
        </c:ser>
        <c:ser>
          <c:idx val="1"/>
          <c:order val="1"/>
          <c:tx>
            <c:v>Klassenmittelwert            </c:v>
          </c:tx>
          <c:spPr>
            <a:pattFill prst="wdUpDiag">
              <a:fgClr>
                <a:schemeClr val="bg1">
                  <a:lumMod val="50000"/>
                </a:schemeClr>
              </a:fgClr>
              <a:bgClr>
                <a:schemeClr val="bg1"/>
              </a:bgClr>
            </a:pattFill>
            <a:ln>
              <a:solidFill>
                <a:schemeClr val="bg1">
                  <a:lumMod val="50000"/>
                </a:schemeClr>
              </a:solidFill>
            </a:ln>
          </c:spPr>
          <c:invertIfNegative val="0"/>
          <c:cat>
            <c:strRef>
              <c:f>Einzel!$L$18:$L$22</c:f>
              <c:strCache>
                <c:ptCount val="5"/>
                <c:pt idx="0">
                  <c:v>Lesen</c:v>
                </c:pt>
                <c:pt idx="1">
                  <c:v>Hören</c:v>
                </c:pt>
                <c:pt idx="2">
                  <c:v>SIK</c:v>
                </c:pt>
                <c:pt idx="3">
                  <c:v>Schreiben 1</c:v>
                </c:pt>
                <c:pt idx="4">
                  <c:v>Schreiben 2</c:v>
                </c:pt>
              </c:strCache>
            </c:strRef>
          </c:cat>
          <c:val>
            <c:numRef>
              <c:f>Einzel!$Q$18:$Q$22</c:f>
              <c:numCache>
                <c:formatCode>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6073272"/>
        <c:axId val="416075624"/>
      </c:barChart>
      <c:catAx>
        <c:axId val="416073272"/>
        <c:scaling>
          <c:orientation val="minMax"/>
        </c:scaling>
        <c:delete val="0"/>
        <c:axPos val="b"/>
        <c:numFmt formatCode="General" sourceLinked="0"/>
        <c:majorTickMark val="out"/>
        <c:minorTickMark val="none"/>
        <c:tickLblPos val="nextTo"/>
        <c:txPr>
          <a:bodyPr/>
          <a:lstStyle/>
          <a:p>
            <a:pPr>
              <a:defRPr lang="de-AT"/>
            </a:pPr>
            <a:endParaRPr lang="en-US"/>
          </a:p>
        </c:txPr>
        <c:crossAx val="416075624"/>
        <c:crosses val="autoZero"/>
        <c:auto val="1"/>
        <c:lblAlgn val="ctr"/>
        <c:lblOffset val="100"/>
        <c:noMultiLvlLbl val="0"/>
      </c:catAx>
      <c:valAx>
        <c:axId val="416075624"/>
        <c:scaling>
          <c:orientation val="minMax"/>
          <c:max val="100"/>
        </c:scaling>
        <c:delete val="0"/>
        <c:axPos val="l"/>
        <c:majorGridlines/>
        <c:title>
          <c:tx>
            <c:rich>
              <a:bodyPr rot="0" vert="horz"/>
              <a:lstStyle/>
              <a:p>
                <a:pPr>
                  <a:defRPr lang="de-AT"/>
                </a:pPr>
                <a:r>
                  <a:rPr lang="en-US"/>
                  <a:t>%</a:t>
                </a:r>
              </a:p>
            </c:rich>
          </c:tx>
          <c:overlay val="0"/>
        </c:title>
        <c:numFmt formatCode="0.00" sourceLinked="1"/>
        <c:majorTickMark val="out"/>
        <c:minorTickMark val="none"/>
        <c:tickLblPos val="nextTo"/>
        <c:txPr>
          <a:bodyPr/>
          <a:lstStyle/>
          <a:p>
            <a:pPr>
              <a:defRPr lang="de-AT"/>
            </a:pPr>
            <a:endParaRPr lang="en-US"/>
          </a:p>
        </c:txPr>
        <c:crossAx val="416073272"/>
        <c:crosses val="autoZero"/>
        <c:crossBetween val="between"/>
      </c:valAx>
    </c:plotArea>
    <c:legend>
      <c:legendPos val="r"/>
      <c:layout>
        <c:manualLayout>
          <c:xMode val="edge"/>
          <c:yMode val="edge"/>
          <c:x val="0.77477534793145753"/>
          <c:y val="0.40283757421424043"/>
          <c:w val="0.20566144772235717"/>
          <c:h val="0.16743438320210027"/>
        </c:manualLayout>
      </c:layout>
      <c:overlay val="0"/>
      <c:txPr>
        <a:bodyPr/>
        <a:lstStyle/>
        <a:p>
          <a:pPr>
            <a:defRPr lang="de-AT"/>
          </a:pPr>
          <a:endParaRPr lang="en-US"/>
        </a:p>
      </c:txPr>
    </c:legend>
    <c:plotVisOnly val="1"/>
    <c:dispBlanksAs val="gap"/>
    <c:showDLblsOverMax val="0"/>
  </c:chart>
  <c:printSettings>
    <c:headerFooter/>
    <c:pageMargins b="0.78740157499999996" l="0.70000000000000151" r="0.70000000000000151" t="0.78740157499999996" header="0.30000000000000027" footer="0.30000000000000027"/>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12</xdr:col>
      <xdr:colOff>476250</xdr:colOff>
      <xdr:row>14</xdr:row>
      <xdr:rowOff>9525</xdr:rowOff>
    </xdr:from>
    <xdr:to>
      <xdr:col>15</xdr:col>
      <xdr:colOff>933450</xdr:colOff>
      <xdr:row>23</xdr:row>
      <xdr:rowOff>22226</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25</xdr:row>
      <xdr:rowOff>1058</xdr:rowOff>
    </xdr:from>
    <xdr:to>
      <xdr:col>16</xdr:col>
      <xdr:colOff>0</xdr:colOff>
      <xdr:row>36</xdr:row>
      <xdr:rowOff>1057</xdr:rowOff>
    </xdr:to>
    <xdr:graphicFrame macro="">
      <xdr:nvGraphicFramePr>
        <xdr:cNvPr id="3"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333374</xdr:colOff>
      <xdr:row>17</xdr:row>
      <xdr:rowOff>1</xdr:rowOff>
    </xdr:from>
    <xdr:to>
      <xdr:col>17</xdr:col>
      <xdr:colOff>-1</xdr:colOff>
      <xdr:row>32</xdr:row>
      <xdr:rowOff>2</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dimension ref="B1:W41"/>
  <sheetViews>
    <sheetView tabSelected="1" workbookViewId="0">
      <selection activeCell="F7" sqref="F7:G7"/>
    </sheetView>
  </sheetViews>
  <sheetFormatPr defaultColWidth="10.796875" defaultRowHeight="15.6" x14ac:dyDescent="0.6"/>
  <cols>
    <col min="1" max="1" width="5.34765625" customWidth="1"/>
    <col min="2" max="2" width="21.09765625" customWidth="1"/>
    <col min="3" max="3" width="7.09765625" customWidth="1"/>
    <col min="4" max="5" width="8.84765625" customWidth="1"/>
    <col min="6" max="6" width="9.59765625" customWidth="1"/>
    <col min="7" max="7" width="7.5" customWidth="1"/>
    <col min="8" max="10" width="0" hidden="1" customWidth="1"/>
    <col min="11" max="11" width="11" hidden="1" customWidth="1"/>
    <col min="12" max="12" width="8.34765625" customWidth="1"/>
    <col min="13" max="13" width="6.34765625" customWidth="1"/>
    <col min="14" max="14" width="19" customWidth="1"/>
    <col min="15" max="15" width="12.59765625" customWidth="1"/>
    <col min="16" max="16" width="12.34765625" customWidth="1"/>
  </cols>
  <sheetData>
    <row r="1" spans="2:23" ht="37.5" customHeight="1" x14ac:dyDescent="0.6">
      <c r="D1" s="393"/>
      <c r="E1" s="393"/>
      <c r="F1" s="393"/>
      <c r="G1" s="393"/>
      <c r="H1" s="393"/>
      <c r="I1" s="393"/>
      <c r="J1" s="393"/>
      <c r="K1" s="393"/>
      <c r="L1" s="393"/>
    </row>
    <row r="2" spans="2:23" ht="20.25" customHeight="1" x14ac:dyDescent="0.6">
      <c r="C2" s="374"/>
      <c r="D2" s="396"/>
      <c r="E2" s="396"/>
      <c r="F2" s="394"/>
      <c r="G2" s="394"/>
      <c r="H2" s="365"/>
      <c r="I2" s="365"/>
      <c r="J2" s="365"/>
      <c r="K2" s="365"/>
      <c r="L2" s="374"/>
    </row>
    <row r="3" spans="2:23" ht="18.75" customHeight="1" x14ac:dyDescent="0.6">
      <c r="C3" s="374"/>
      <c r="D3" s="397"/>
      <c r="E3" s="397"/>
      <c r="F3" s="395"/>
      <c r="G3" s="395"/>
      <c r="H3" s="123"/>
      <c r="I3" s="123"/>
      <c r="J3" s="123"/>
      <c r="K3" s="123"/>
      <c r="L3" s="123"/>
      <c r="M3" s="122"/>
      <c r="N3" s="371" t="s">
        <v>104</v>
      </c>
      <c r="O3" s="94">
        <v>270</v>
      </c>
      <c r="P3" s="122"/>
    </row>
    <row r="4" spans="2:23" ht="18.75" customHeight="1" x14ac:dyDescent="0.6">
      <c r="B4" s="471" t="s">
        <v>100</v>
      </c>
      <c r="C4" s="472"/>
      <c r="D4" s="433" t="s">
        <v>61</v>
      </c>
      <c r="E4" s="433"/>
      <c r="F4" s="429"/>
      <c r="G4" s="429"/>
      <c r="H4" s="124"/>
      <c r="I4" s="124"/>
      <c r="J4" s="124"/>
      <c r="K4" s="124"/>
      <c r="L4" s="370"/>
      <c r="M4" s="122"/>
      <c r="N4" s="122"/>
      <c r="O4" s="122"/>
      <c r="P4" s="122"/>
    </row>
    <row r="5" spans="2:23" ht="19.5" customHeight="1" x14ac:dyDescent="0.6">
      <c r="B5" s="471"/>
      <c r="C5" s="472"/>
      <c r="D5" s="434" t="s">
        <v>16</v>
      </c>
      <c r="E5" s="435"/>
      <c r="F5" s="470"/>
      <c r="G5" s="470"/>
      <c r="H5" s="123"/>
      <c r="I5" s="123"/>
      <c r="J5" s="123"/>
      <c r="K5" s="123"/>
      <c r="L5" s="124"/>
      <c r="M5" s="122"/>
      <c r="N5" s="112" t="s">
        <v>26</v>
      </c>
      <c r="O5" s="450" t="s">
        <v>68</v>
      </c>
      <c r="P5" s="451"/>
      <c r="Q5" s="102"/>
      <c r="R5" s="102"/>
      <c r="S5" s="122"/>
      <c r="T5" s="122"/>
    </row>
    <row r="6" spans="2:23" ht="18.75" customHeight="1" thickBot="1" x14ac:dyDescent="0.65">
      <c r="B6" s="471"/>
      <c r="C6" s="472"/>
      <c r="D6" s="466" t="s">
        <v>109</v>
      </c>
      <c r="E6" s="467"/>
      <c r="F6" s="470"/>
      <c r="G6" s="470"/>
      <c r="H6" s="156"/>
      <c r="I6" s="156"/>
      <c r="J6" s="156"/>
      <c r="K6" s="156"/>
      <c r="L6" s="124"/>
      <c r="M6" s="122"/>
      <c r="N6" s="95"/>
      <c r="O6" s="96"/>
      <c r="P6" s="387" t="s">
        <v>70</v>
      </c>
      <c r="Q6" s="10"/>
      <c r="R6" s="10"/>
      <c r="S6" s="122"/>
      <c r="T6" s="122"/>
    </row>
    <row r="7" spans="2:23" ht="16.5" customHeight="1" thickTop="1" x14ac:dyDescent="0.6">
      <c r="B7" s="471"/>
      <c r="C7" s="472"/>
      <c r="D7" s="468" t="s">
        <v>87</v>
      </c>
      <c r="E7" s="469"/>
      <c r="F7" s="473"/>
      <c r="G7" s="473"/>
      <c r="H7" s="122"/>
      <c r="I7" s="122"/>
      <c r="J7" s="122"/>
      <c r="K7" s="122"/>
      <c r="M7" s="122"/>
      <c r="N7" s="97" t="s">
        <v>11</v>
      </c>
      <c r="O7" s="109">
        <f>COUNTIF(Klassenübersicht!$Z$24:$Z$51,1)</f>
        <v>0</v>
      </c>
      <c r="P7" s="388">
        <f>IF(O$12&gt;0,ROUND($O7/$O$12*100,1),0)</f>
        <v>0</v>
      </c>
      <c r="Q7" s="103"/>
      <c r="R7" s="103"/>
      <c r="S7" s="122"/>
      <c r="T7" s="122"/>
    </row>
    <row r="8" spans="2:23" s="1" customFormat="1" x14ac:dyDescent="0.6">
      <c r="B8" s="223"/>
      <c r="C8" s="223"/>
      <c r="D8" s="125"/>
      <c r="E8" s="224"/>
      <c r="F8" s="224"/>
      <c r="G8" s="125"/>
      <c r="H8" s="461" t="s">
        <v>31</v>
      </c>
      <c r="I8" s="462"/>
      <c r="J8" s="463"/>
      <c r="K8" s="125"/>
      <c r="L8" s="125"/>
      <c r="M8" s="125"/>
      <c r="N8" s="98" t="s">
        <v>12</v>
      </c>
      <c r="O8" s="109">
        <f>COUNTIF(Klassenübersicht!$Z$24:$Z$51,2)</f>
        <v>0</v>
      </c>
      <c r="P8" s="405">
        <f t="shared" ref="P8:P12" si="0">IF(O$12&gt;0,ROUND($O8/$O$12*100,1),0)</f>
        <v>0</v>
      </c>
      <c r="Q8" s="104"/>
      <c r="R8" s="104"/>
      <c r="S8" s="125"/>
      <c r="T8" s="125"/>
    </row>
    <row r="9" spans="2:23" s="1" customFormat="1" x14ac:dyDescent="0.6">
      <c r="B9" s="444"/>
      <c r="C9" s="452" t="s">
        <v>51</v>
      </c>
      <c r="D9" s="454" t="s">
        <v>9</v>
      </c>
      <c r="E9" s="456" t="s">
        <v>46</v>
      </c>
      <c r="F9" s="464" t="s">
        <v>88</v>
      </c>
      <c r="G9" s="458" t="s">
        <v>52</v>
      </c>
      <c r="H9" s="128"/>
      <c r="I9" s="128"/>
      <c r="J9" s="128"/>
      <c r="K9" s="70"/>
      <c r="L9" s="460" t="s">
        <v>53</v>
      </c>
      <c r="M9" s="125"/>
      <c r="N9" s="99" t="s">
        <v>13</v>
      </c>
      <c r="O9" s="109">
        <f>COUNTIF(Klassenübersicht!$Z$24:$Z$51,3)</f>
        <v>0</v>
      </c>
      <c r="P9" s="406">
        <f t="shared" si="0"/>
        <v>0</v>
      </c>
      <c r="Q9" s="105"/>
      <c r="R9" s="105"/>
      <c r="S9" s="125"/>
      <c r="T9" s="125"/>
    </row>
    <row r="10" spans="2:23" ht="18.75" customHeight="1" x14ac:dyDescent="0.6">
      <c r="B10" s="445"/>
      <c r="C10" s="453"/>
      <c r="D10" s="455"/>
      <c r="E10" s="457"/>
      <c r="F10" s="465"/>
      <c r="G10" s="459"/>
      <c r="H10" s="129"/>
      <c r="I10" s="129"/>
      <c r="J10" s="129"/>
      <c r="K10" s="129"/>
      <c r="L10" s="460"/>
      <c r="M10" s="126">
        <v>0</v>
      </c>
      <c r="N10" s="99" t="s">
        <v>14</v>
      </c>
      <c r="O10" s="109">
        <f>COUNTIF(Klassenübersicht!$Z$24:$Z$51,4)</f>
        <v>0</v>
      </c>
      <c r="P10" s="406">
        <f t="shared" si="0"/>
        <v>0</v>
      </c>
      <c r="Q10" s="106"/>
      <c r="R10" s="390"/>
      <c r="S10" s="122"/>
      <c r="T10" s="122"/>
    </row>
    <row r="11" spans="2:23" ht="15.9" thickBot="1" x14ac:dyDescent="0.65">
      <c r="B11" s="225" t="s">
        <v>39</v>
      </c>
      <c r="C11" s="93">
        <v>1</v>
      </c>
      <c r="D11" s="136">
        <f>SUM(D12:D15)</f>
        <v>32</v>
      </c>
      <c r="E11" s="130">
        <f>IF(C11&gt;0,E34/C34,0)</f>
        <v>25</v>
      </c>
      <c r="F11" s="131">
        <f>IF(AND(C11=1,E11&gt;0),E11/D11,0)</f>
        <v>0.78125</v>
      </c>
      <c r="G11" s="132">
        <f>IF(E34&gt;0,E11/E$34*100,0)</f>
        <v>25</v>
      </c>
      <c r="H11" s="133"/>
      <c r="I11" s="134" t="s">
        <v>15</v>
      </c>
      <c r="J11" s="134" t="s">
        <v>47</v>
      </c>
      <c r="K11" s="135">
        <v>0.6</v>
      </c>
      <c r="L11" s="136">
        <f>IF(C11=1,ROUND(COUNTA(D12:D15)*60/4,0),0)</f>
        <v>60</v>
      </c>
      <c r="M11" s="126">
        <v>1</v>
      </c>
      <c r="N11" s="100" t="s">
        <v>50</v>
      </c>
      <c r="O11" s="373">
        <f>COUNTIF(Klassenübersicht!$Z$24:$Z$51,5)</f>
        <v>0</v>
      </c>
      <c r="P11" s="407">
        <f t="shared" si="0"/>
        <v>0</v>
      </c>
      <c r="Q11" s="107"/>
      <c r="R11" s="107"/>
      <c r="S11" s="122"/>
      <c r="T11" s="122"/>
    </row>
    <row r="12" spans="2:23" ht="15.9" thickTop="1" x14ac:dyDescent="0.6">
      <c r="B12" s="226" t="s">
        <v>35</v>
      </c>
      <c r="C12" s="227">
        <v>7</v>
      </c>
      <c r="D12" s="14">
        <v>9</v>
      </c>
      <c r="E12" s="137">
        <f>D12*F$11</f>
        <v>7.03125</v>
      </c>
      <c r="F12" s="138"/>
      <c r="G12" s="137">
        <f>IF(E$34&gt;0,E12/E$34*100,0)</f>
        <v>7.03125</v>
      </c>
      <c r="H12" s="122"/>
      <c r="I12" s="228">
        <v>1</v>
      </c>
      <c r="J12" s="228"/>
      <c r="K12" s="139">
        <f>IF(D12&gt;0,0.6,0)</f>
        <v>0.6</v>
      </c>
      <c r="L12" s="140"/>
      <c r="M12" s="122"/>
      <c r="N12" s="101" t="s">
        <v>69</v>
      </c>
      <c r="O12" s="389">
        <f>SUM(O7:O11)</f>
        <v>0</v>
      </c>
      <c r="P12" s="388">
        <f t="shared" si="0"/>
        <v>0</v>
      </c>
      <c r="Q12" s="108"/>
      <c r="R12" s="391"/>
      <c r="S12" s="122"/>
      <c r="T12" s="122"/>
      <c r="W12" s="392"/>
    </row>
    <row r="13" spans="2:23" x14ac:dyDescent="0.6">
      <c r="B13" s="226" t="s">
        <v>36</v>
      </c>
      <c r="C13" s="229">
        <v>1</v>
      </c>
      <c r="D13" s="14">
        <v>7</v>
      </c>
      <c r="E13" s="137">
        <f>D13*F$11</f>
        <v>5.46875</v>
      </c>
      <c r="F13" s="138"/>
      <c r="G13" s="137">
        <f>IF(E$34&gt;0,E13/E$34*100,0)</f>
        <v>5.46875</v>
      </c>
      <c r="H13" s="122"/>
      <c r="I13" s="230">
        <v>1</v>
      </c>
      <c r="J13" s="230"/>
      <c r="K13" s="139">
        <f>IF(D13&gt;0,0.6,0)</f>
        <v>0.6</v>
      </c>
      <c r="L13" s="103"/>
      <c r="M13" s="122"/>
      <c r="N13" s="157"/>
      <c r="O13" s="157"/>
      <c r="P13" s="160"/>
      <c r="Q13" s="110"/>
      <c r="R13" s="110"/>
      <c r="S13" s="110"/>
      <c r="T13" s="122"/>
      <c r="W13" s="392"/>
    </row>
    <row r="14" spans="2:23" x14ac:dyDescent="0.6">
      <c r="B14" s="226" t="s">
        <v>37</v>
      </c>
      <c r="C14" s="226"/>
      <c r="D14" s="14">
        <v>8</v>
      </c>
      <c r="E14" s="137">
        <f>D14*F$11</f>
        <v>6.25</v>
      </c>
      <c r="F14" s="138"/>
      <c r="G14" s="137">
        <f>IF(E$34&gt;0,E14/E$34*100,0)</f>
        <v>6.25</v>
      </c>
      <c r="H14" s="122"/>
      <c r="I14" s="230"/>
      <c r="J14" s="230"/>
      <c r="K14" s="139">
        <f>IF(D14&gt;0,0.6,0)</f>
        <v>0.6</v>
      </c>
      <c r="L14" s="103"/>
      <c r="M14" s="122"/>
      <c r="N14" s="447" t="s">
        <v>72</v>
      </c>
      <c r="O14" s="448"/>
      <c r="P14" s="448"/>
      <c r="Q14" s="111"/>
      <c r="R14" s="111"/>
      <c r="S14" s="111"/>
      <c r="T14" s="122"/>
    </row>
    <row r="15" spans="2:23" x14ac:dyDescent="0.6">
      <c r="B15" s="226" t="s">
        <v>38</v>
      </c>
      <c r="C15" s="226"/>
      <c r="D15" s="14">
        <v>8</v>
      </c>
      <c r="E15" s="137">
        <f>D15*F$11</f>
        <v>6.25</v>
      </c>
      <c r="F15" s="138"/>
      <c r="G15" s="137">
        <f>IF(E$34&gt;0,E15/E$34*100,0)</f>
        <v>6.25</v>
      </c>
      <c r="H15" s="122"/>
      <c r="I15" s="230"/>
      <c r="J15" s="230"/>
      <c r="K15" s="139">
        <f>IF(D15&gt;0,0.6,0)</f>
        <v>0.6</v>
      </c>
      <c r="L15" s="103"/>
      <c r="M15" s="122"/>
      <c r="N15" s="158"/>
      <c r="O15" s="159"/>
      <c r="P15" s="159"/>
      <c r="Q15" s="111"/>
      <c r="R15" s="111"/>
      <c r="S15" s="111"/>
      <c r="T15" s="122"/>
    </row>
    <row r="16" spans="2:23" ht="15.9" thickBot="1" x14ac:dyDescent="0.65">
      <c r="B16" s="122"/>
      <c r="C16" s="122"/>
      <c r="D16" s="122"/>
      <c r="E16" s="122"/>
      <c r="F16" s="141"/>
      <c r="G16" s="122"/>
      <c r="H16" s="122"/>
      <c r="I16" s="142"/>
      <c r="J16" s="142"/>
      <c r="K16" s="122"/>
      <c r="L16" s="143"/>
      <c r="M16" s="122"/>
      <c r="Q16" s="122"/>
      <c r="R16" s="122"/>
      <c r="S16" s="122"/>
      <c r="T16" s="122"/>
    </row>
    <row r="17" spans="2:20" ht="15.9" thickBot="1" x14ac:dyDescent="0.65">
      <c r="B17" s="231" t="s">
        <v>40</v>
      </c>
      <c r="C17" s="11">
        <v>1</v>
      </c>
      <c r="D17" s="232">
        <f>SUM(D18:D21)</f>
        <v>29</v>
      </c>
      <c r="E17" s="144">
        <f>IF(C17&gt;0,E34/C34,0)</f>
        <v>25</v>
      </c>
      <c r="F17" s="145">
        <f>IF(AND(C17=1,E17&gt;0),E17/D17,0)</f>
        <v>0.86206896551724133</v>
      </c>
      <c r="G17" s="146">
        <f>IF(E34&gt;0,E17/E$34*100,0)</f>
        <v>25</v>
      </c>
      <c r="H17" s="147"/>
      <c r="I17" s="148"/>
      <c r="J17" s="148"/>
      <c r="K17" s="147"/>
      <c r="L17" s="149">
        <f>SUM(N18:N21)</f>
        <v>45</v>
      </c>
      <c r="M17" s="175">
        <v>2</v>
      </c>
      <c r="N17" s="176"/>
      <c r="O17" s="150"/>
      <c r="P17" s="122"/>
      <c r="Q17" s="122"/>
      <c r="R17" s="122"/>
      <c r="S17" s="122"/>
      <c r="T17" s="122"/>
    </row>
    <row r="18" spans="2:20" x14ac:dyDescent="0.6">
      <c r="B18" s="233" t="s">
        <v>30</v>
      </c>
      <c r="C18" s="226"/>
      <c r="D18" s="14">
        <v>6</v>
      </c>
      <c r="E18" s="137">
        <f>D18*F$17</f>
        <v>5.1724137931034484</v>
      </c>
      <c r="F18" s="122"/>
      <c r="G18" s="137">
        <f>IF(E$34&gt;0,E18/E$34*100,0)</f>
        <v>5.1724137931034484</v>
      </c>
      <c r="H18" s="153" t="s">
        <v>52</v>
      </c>
      <c r="I18" s="228">
        <v>1</v>
      </c>
      <c r="J18" s="228"/>
      <c r="K18" s="139">
        <f>IF(D18&gt;0,0.6,0)</f>
        <v>0.6</v>
      </c>
      <c r="L18" s="13">
        <v>5</v>
      </c>
      <c r="M18" s="177">
        <v>3</v>
      </c>
      <c r="N18" s="151">
        <f>IF($C$17=1,ROUNDUP(SUM(L18*2*60+D18*5+30)*COUNT(D18)*COUNT(L18)/60,0),0)</f>
        <v>11</v>
      </c>
      <c r="O18" s="152"/>
      <c r="P18" s="122"/>
      <c r="Q18" s="122"/>
      <c r="R18" s="122"/>
      <c r="S18" s="122"/>
      <c r="T18" s="122"/>
    </row>
    <row r="19" spans="2:20" x14ac:dyDescent="0.6">
      <c r="B19" s="226" t="s">
        <v>32</v>
      </c>
      <c r="C19" s="226"/>
      <c r="D19" s="14">
        <v>7</v>
      </c>
      <c r="E19" s="137">
        <f>D19*F$17</f>
        <v>6.0344827586206895</v>
      </c>
      <c r="F19" s="122"/>
      <c r="G19" s="137">
        <f>IF(E$34&gt;0,E19/E$34*100,0)</f>
        <v>6.0344827586206895</v>
      </c>
      <c r="H19" s="153" t="s">
        <v>52</v>
      </c>
      <c r="I19" s="230">
        <v>1</v>
      </c>
      <c r="J19" s="230"/>
      <c r="K19" s="139">
        <f>IF(D19&gt;0,0.6,0)</f>
        <v>0.6</v>
      </c>
      <c r="L19" s="13">
        <v>5</v>
      </c>
      <c r="M19" s="177">
        <v>4</v>
      </c>
      <c r="N19" s="151">
        <f>IF($C$17=1,ROUNDUP(SUM(L19*2*60+D19*5+30)*COUNT(D19)*COUNT(L19)/60,0),0)</f>
        <v>12</v>
      </c>
      <c r="O19" s="152"/>
      <c r="P19" s="122"/>
      <c r="Q19" s="122"/>
      <c r="R19" s="122"/>
      <c r="S19" s="122"/>
      <c r="T19" s="122"/>
    </row>
    <row r="20" spans="2:20" x14ac:dyDescent="0.6">
      <c r="B20" s="226" t="s">
        <v>33</v>
      </c>
      <c r="C20" s="226"/>
      <c r="D20" s="14">
        <v>8</v>
      </c>
      <c r="E20" s="137">
        <f>D20*F$17</f>
        <v>6.8965517241379306</v>
      </c>
      <c r="F20" s="122"/>
      <c r="G20" s="137">
        <f>IF(E$34&gt;0,E20/E$34*100,0)</f>
        <v>6.8965517241379306</v>
      </c>
      <c r="H20" s="153" t="s">
        <v>52</v>
      </c>
      <c r="I20" s="230"/>
      <c r="J20" s="230"/>
      <c r="K20" s="139">
        <f>IF(D20&gt;0,0.6,0)</f>
        <v>0.6</v>
      </c>
      <c r="L20" s="13">
        <v>5</v>
      </c>
      <c r="M20" s="177">
        <v>5</v>
      </c>
      <c r="N20" s="151">
        <f>IF($C$17=1,ROUNDUP(SUM(L20*2*60+D20*5+30)*COUNT(D20)*COUNT(L20)/60,0),0)</f>
        <v>12</v>
      </c>
      <c r="O20" s="152"/>
      <c r="P20" s="122"/>
      <c r="Q20" s="122"/>
      <c r="R20" s="122"/>
      <c r="S20" s="122"/>
      <c r="T20" s="122"/>
    </row>
    <row r="21" spans="2:20" x14ac:dyDescent="0.6">
      <c r="B21" s="226" t="s">
        <v>34</v>
      </c>
      <c r="C21" s="226"/>
      <c r="D21" s="14">
        <v>8</v>
      </c>
      <c r="E21" s="137">
        <f>D21*F$17</f>
        <v>6.8965517241379306</v>
      </c>
      <c r="F21" s="122"/>
      <c r="G21" s="137">
        <f>IF(E$34&gt;0,E21/E$34*100,0)</f>
        <v>6.8965517241379306</v>
      </c>
      <c r="H21" s="153" t="s">
        <v>52</v>
      </c>
      <c r="I21" s="230"/>
      <c r="J21" s="230"/>
      <c r="K21" s="139">
        <f>IF(D21&gt;0,0.6,0)</f>
        <v>0.6</v>
      </c>
      <c r="L21" s="13">
        <v>4</v>
      </c>
      <c r="M21" s="178"/>
      <c r="N21" s="151">
        <f>IF($C$17=1,ROUNDUP(SUM(L21*2*60+D21*5+30)*COUNT(D21)*COUNT(L21)/60,0),0)</f>
        <v>10</v>
      </c>
      <c r="O21" s="152"/>
      <c r="P21" s="122"/>
      <c r="Q21" s="122"/>
      <c r="R21" s="122"/>
      <c r="S21" s="122"/>
      <c r="T21" s="122"/>
    </row>
    <row r="22" spans="2:20" x14ac:dyDescent="0.6">
      <c r="B22" s="122"/>
      <c r="C22" s="122"/>
      <c r="D22" s="122"/>
      <c r="E22" s="122"/>
      <c r="F22" s="155"/>
      <c r="G22" s="122"/>
      <c r="H22" s="122"/>
      <c r="I22" s="142"/>
      <c r="J22" s="142"/>
      <c r="K22" s="122"/>
      <c r="L22" s="103"/>
      <c r="M22" s="122"/>
      <c r="N22" s="122"/>
      <c r="O22" s="103"/>
      <c r="P22" s="122"/>
      <c r="Q22" s="122"/>
      <c r="R22" s="122"/>
      <c r="S22" s="122"/>
      <c r="T22" s="122"/>
    </row>
    <row r="23" spans="2:20" ht="15.9" thickBot="1" x14ac:dyDescent="0.65">
      <c r="B23" s="122"/>
      <c r="C23" s="122"/>
      <c r="D23" s="122"/>
      <c r="E23" s="122"/>
      <c r="F23" s="122"/>
      <c r="G23" s="122"/>
      <c r="H23" s="122"/>
      <c r="I23" s="142"/>
      <c r="J23" s="142"/>
      <c r="K23" s="122"/>
      <c r="L23" s="103"/>
      <c r="M23" s="122"/>
      <c r="N23" s="122"/>
      <c r="O23" s="103"/>
      <c r="P23" s="122"/>
      <c r="Q23" s="122"/>
      <c r="R23" s="122"/>
      <c r="S23" s="122"/>
      <c r="T23" s="122"/>
    </row>
    <row r="24" spans="2:20" ht="15.9" thickBot="1" x14ac:dyDescent="0.65">
      <c r="B24" s="234" t="s">
        <v>49</v>
      </c>
      <c r="C24" s="42">
        <v>1</v>
      </c>
      <c r="D24" s="235">
        <f>SUM(D25:D28)</f>
        <v>47</v>
      </c>
      <c r="E24" s="236">
        <f>IF(C24&gt;0,E34/C34,0)</f>
        <v>25</v>
      </c>
      <c r="F24" s="237">
        <f>IF(AND(C24=1,E24&gt;0),E24/D24,0)</f>
        <v>0.53191489361702127</v>
      </c>
      <c r="G24" s="238">
        <f>IF(E34&gt;0,E24/E$34*100,0)</f>
        <v>25</v>
      </c>
      <c r="H24" s="239"/>
      <c r="I24" s="240" t="s">
        <v>15</v>
      </c>
      <c r="J24" s="240" t="s">
        <v>47</v>
      </c>
      <c r="K24" s="241">
        <f>IFERROR(SUM(K25:K28)/COUNT(I25:J28),0)</f>
        <v>0</v>
      </c>
      <c r="L24" s="242">
        <f>IF(C24=1,ROUND(COUNTA(D25:D28)*45/4,0),0)</f>
        <v>45</v>
      </c>
      <c r="M24" s="122"/>
      <c r="N24" s="122"/>
      <c r="O24" s="103"/>
      <c r="P24" s="122"/>
      <c r="Q24" s="122"/>
      <c r="R24" s="122"/>
      <c r="S24" s="122"/>
      <c r="T24" s="122"/>
    </row>
    <row r="25" spans="2:20" x14ac:dyDescent="0.6">
      <c r="B25" s="243" t="s">
        <v>41</v>
      </c>
      <c r="C25" s="243"/>
      <c r="D25" s="14">
        <v>12</v>
      </c>
      <c r="E25" s="137">
        <f>D25*F$24</f>
        <v>6.3829787234042552</v>
      </c>
      <c r="F25" s="138"/>
      <c r="G25" s="137">
        <f>IF(E$34&gt;0,E25/E$34*100,0)</f>
        <v>6.3829787234042552</v>
      </c>
      <c r="H25" s="153" t="s">
        <v>52</v>
      </c>
      <c r="I25" s="244">
        <v>1</v>
      </c>
      <c r="J25" s="244"/>
      <c r="K25" s="245" t="e">
        <f>IF(D25&gt;0,IF(#REF!*0.7+I25*0.6+J25*0.5&lt;1,#REF!*0.7+I25*0.6+J25*0.5,"FEHLER"))</f>
        <v>#REF!</v>
      </c>
      <c r="L25" s="140"/>
      <c r="M25" s="122"/>
      <c r="N25" s="449" t="s">
        <v>78</v>
      </c>
      <c r="O25" s="449"/>
      <c r="P25" s="449"/>
      <c r="Q25" s="122"/>
      <c r="R25" s="122"/>
      <c r="S25" s="122"/>
      <c r="T25" s="122"/>
    </row>
    <row r="26" spans="2:20" x14ac:dyDescent="0.6">
      <c r="B26" s="243" t="s">
        <v>42</v>
      </c>
      <c r="C26" s="243"/>
      <c r="D26" s="14">
        <v>11</v>
      </c>
      <c r="E26" s="137">
        <f>D26*F$24</f>
        <v>5.8510638297872344</v>
      </c>
      <c r="F26" s="138"/>
      <c r="G26" s="137">
        <f>IF(E$34&gt;0,E26/E$34*100,0)</f>
        <v>5.8510638297872344</v>
      </c>
      <c r="H26" s="153" t="s">
        <v>52</v>
      </c>
      <c r="I26" s="246">
        <v>1</v>
      </c>
      <c r="J26" s="246"/>
      <c r="K26" s="245" t="e">
        <f>IF(D26&gt;0,IF(#REF!*0.7+I26*0.6+J26*0.5&lt;1,#REF!*0.7+I26*0.6+J26*0.5,"FEHLER"))</f>
        <v>#REF!</v>
      </c>
      <c r="L26" s="103"/>
      <c r="M26" s="122"/>
      <c r="Q26" s="122"/>
      <c r="R26" s="122"/>
      <c r="S26" s="122"/>
      <c r="T26" s="122"/>
    </row>
    <row r="27" spans="2:20" x14ac:dyDescent="0.6">
      <c r="B27" s="243" t="s">
        <v>43</v>
      </c>
      <c r="C27" s="243"/>
      <c r="D27" s="14">
        <v>11</v>
      </c>
      <c r="E27" s="137">
        <f>D27*F$24</f>
        <v>5.8510638297872344</v>
      </c>
      <c r="F27" s="138"/>
      <c r="G27" s="137">
        <f>IF(E$34&gt;0,E27/E$34*100,0)</f>
        <v>5.8510638297872344</v>
      </c>
      <c r="H27" s="153" t="s">
        <v>52</v>
      </c>
      <c r="I27" s="246"/>
      <c r="J27" s="246"/>
      <c r="K27" s="245" t="e">
        <f>IF(D27&gt;0,IF(#REF!*0.7+I27*0.6+J27*0.5&lt;1,#REF!*0.7+I27*0.6+J27*0.5,"FEHLER"))</f>
        <v>#REF!</v>
      </c>
      <c r="L27" s="103"/>
      <c r="M27" s="122"/>
      <c r="N27" s="153" t="s">
        <v>5</v>
      </c>
      <c r="O27" s="103"/>
      <c r="P27" s="122"/>
      <c r="Q27" s="122"/>
      <c r="R27" s="122"/>
      <c r="S27" s="122"/>
      <c r="T27" s="122"/>
    </row>
    <row r="28" spans="2:20" x14ac:dyDescent="0.6">
      <c r="B28" s="243" t="s">
        <v>62</v>
      </c>
      <c r="C28" s="243"/>
      <c r="D28" s="14">
        <v>13</v>
      </c>
      <c r="E28" s="137">
        <f>D28*F$24</f>
        <v>6.914893617021276</v>
      </c>
      <c r="F28" s="138"/>
      <c r="G28" s="137">
        <f>IF(E$34&gt;0,E28/E$34*100,0)</f>
        <v>6.9148936170212751</v>
      </c>
      <c r="H28" s="153" t="s">
        <v>52</v>
      </c>
      <c r="I28" s="246"/>
      <c r="J28" s="246"/>
      <c r="K28" s="245" t="e">
        <f>IF(D28&gt;0,IF(#REF!*0.7+I28*0.6+J28*0.5&lt;1,#REF!*0.7+I28*0.6+J28*0.5,"FEHLER"))</f>
        <v>#REF!</v>
      </c>
      <c r="L28" s="103"/>
      <c r="M28" s="122"/>
      <c r="N28" s="153" t="s">
        <v>6</v>
      </c>
      <c r="O28" s="103"/>
      <c r="P28" s="122"/>
      <c r="Q28" s="122"/>
      <c r="R28" s="122"/>
      <c r="S28" s="122"/>
      <c r="T28" s="122"/>
    </row>
    <row r="29" spans="2:20" x14ac:dyDescent="0.6">
      <c r="B29" s="122"/>
      <c r="C29" s="122"/>
      <c r="D29" s="122"/>
      <c r="E29" s="122"/>
      <c r="F29" s="141"/>
      <c r="G29" s="122"/>
      <c r="H29" s="122"/>
      <c r="I29" s="142"/>
      <c r="J29" s="142"/>
      <c r="K29" s="122"/>
      <c r="L29" s="143"/>
      <c r="M29" s="122"/>
      <c r="N29" s="153" t="s">
        <v>73</v>
      </c>
      <c r="O29" s="103"/>
      <c r="P29" s="122"/>
      <c r="Q29" s="122"/>
      <c r="R29" s="122"/>
      <c r="S29" s="122"/>
      <c r="T29" s="122"/>
    </row>
    <row r="30" spans="2:20" ht="15.9" thickBot="1" x14ac:dyDescent="0.65">
      <c r="B30" s="234" t="s">
        <v>48</v>
      </c>
      <c r="C30" s="247"/>
      <c r="D30" s="248">
        <f>D31+D32</f>
        <v>80</v>
      </c>
      <c r="E30" s="249">
        <f>IF(C31+C32&gt;0,E34/C34,0)</f>
        <v>25</v>
      </c>
      <c r="F30" s="367">
        <f>IF(E30&gt;0,E30/D30,0)</f>
        <v>0.3125</v>
      </c>
      <c r="G30" s="238">
        <f>IF(E34&gt;0,E30/E$34*100,0)</f>
        <v>25</v>
      </c>
      <c r="H30" s="122"/>
      <c r="I30" s="250"/>
      <c r="J30" s="250"/>
      <c r="K30" s="251"/>
      <c r="L30" s="252">
        <f>O3-L17-L24-L11</f>
        <v>120</v>
      </c>
      <c r="M30" s="122"/>
      <c r="N30" s="153" t="s">
        <v>7</v>
      </c>
      <c r="O30" s="103"/>
      <c r="P30" s="122"/>
      <c r="Q30" s="122"/>
      <c r="R30" s="122"/>
      <c r="S30" s="122"/>
      <c r="T30" s="122"/>
    </row>
    <row r="31" spans="2:20" ht="15.9" thickBot="1" x14ac:dyDescent="0.65">
      <c r="B31" s="239" t="s">
        <v>44</v>
      </c>
      <c r="C31" s="11">
        <v>1</v>
      </c>
      <c r="D31" s="240">
        <f>IF(C31=1,40,0)</f>
        <v>40</v>
      </c>
      <c r="E31" s="253">
        <f>IF(C31=1,25/(C$31+C$32),0)</f>
        <v>12.5</v>
      </c>
      <c r="F31" s="254"/>
      <c r="G31" s="138">
        <f>IF(E$34&gt;0,E31/E$34*100,0)</f>
        <v>12.5</v>
      </c>
      <c r="H31" s="153" t="s">
        <v>52</v>
      </c>
      <c r="I31" s="255"/>
      <c r="J31" s="255"/>
      <c r="K31" s="256"/>
      <c r="L31" s="257"/>
      <c r="M31" s="122"/>
      <c r="N31" s="153" t="s">
        <v>8</v>
      </c>
      <c r="O31" s="103"/>
      <c r="P31" s="122"/>
      <c r="Q31" s="122"/>
      <c r="R31" s="122"/>
      <c r="S31" s="122"/>
      <c r="T31" s="122"/>
    </row>
    <row r="32" spans="2:20" x14ac:dyDescent="0.6">
      <c r="B32" s="243" t="s">
        <v>45</v>
      </c>
      <c r="C32" s="12">
        <v>1</v>
      </c>
      <c r="D32" s="258">
        <f>IF(C32=1,40,0)</f>
        <v>40</v>
      </c>
      <c r="E32" s="253">
        <f>IF(C32=1,25/(C$31+C$32),0)</f>
        <v>12.5</v>
      </c>
      <c r="F32" s="259"/>
      <c r="G32" s="260">
        <f>IF(E$34&gt;0,E32/E$34*100,0)</f>
        <v>12.5</v>
      </c>
      <c r="H32" s="153" t="s">
        <v>52</v>
      </c>
      <c r="I32" s="250"/>
      <c r="J32" s="250"/>
      <c r="K32" s="251"/>
      <c r="L32" s="261"/>
      <c r="M32" s="122"/>
      <c r="N32" s="122"/>
      <c r="O32" s="103"/>
      <c r="P32" s="122"/>
      <c r="Q32" s="122"/>
      <c r="R32" s="122"/>
      <c r="S32" s="122"/>
      <c r="T32" s="122"/>
    </row>
    <row r="33" spans="2:20" x14ac:dyDescent="0.6">
      <c r="B33" s="262"/>
      <c r="C33" s="122"/>
      <c r="D33" s="263"/>
      <c r="E33" s="122"/>
      <c r="F33" s="264"/>
      <c r="G33" s="262"/>
      <c r="H33" s="122"/>
      <c r="I33" s="122"/>
      <c r="J33" s="122"/>
      <c r="K33" s="122"/>
      <c r="L33" s="122"/>
      <c r="M33" s="122"/>
      <c r="N33" s="122"/>
      <c r="O33" s="122"/>
      <c r="P33" s="122"/>
      <c r="Q33" s="122"/>
      <c r="R33" s="122"/>
      <c r="S33" s="122"/>
      <c r="T33" s="122"/>
    </row>
    <row r="34" spans="2:20" x14ac:dyDescent="0.6">
      <c r="B34" s="265" t="s">
        <v>81</v>
      </c>
      <c r="C34" s="266">
        <f>C11+C17+C24+(C31+C32)-C31*C32</f>
        <v>4</v>
      </c>
      <c r="D34" s="262"/>
      <c r="E34" s="372">
        <v>100</v>
      </c>
      <c r="F34" s="430"/>
      <c r="G34" s="431"/>
      <c r="H34" s="431"/>
      <c r="I34" s="431"/>
      <c r="J34" s="431"/>
      <c r="K34" s="431"/>
      <c r="L34" s="432"/>
      <c r="M34" s="122"/>
      <c r="N34" s="122"/>
      <c r="O34" s="122"/>
      <c r="P34" s="122"/>
      <c r="Q34" s="122"/>
      <c r="R34" s="122"/>
      <c r="S34" s="122"/>
      <c r="T34" s="122"/>
    </row>
    <row r="35" spans="2:20" ht="15.9" thickBot="1" x14ac:dyDescent="0.65">
      <c r="B35" s="155"/>
      <c r="C35" s="267"/>
      <c r="D35" s="267"/>
      <c r="E35" s="122"/>
      <c r="F35" s="268" t="s">
        <v>54</v>
      </c>
      <c r="G35" s="268" t="s">
        <v>79</v>
      </c>
      <c r="H35" s="122"/>
      <c r="I35" s="122"/>
      <c r="J35" s="122"/>
      <c r="K35" s="122"/>
      <c r="L35" s="122"/>
      <c r="M35" s="122"/>
      <c r="N35" s="122"/>
      <c r="O35" s="122"/>
      <c r="P35" s="122"/>
      <c r="Q35" s="122"/>
      <c r="R35" s="122"/>
      <c r="S35" s="122"/>
      <c r="T35" s="122"/>
    </row>
    <row r="36" spans="2:20" ht="15.9" thickBot="1" x14ac:dyDescent="0.65">
      <c r="B36" s="441" t="s">
        <v>63</v>
      </c>
      <c r="C36" s="442"/>
      <c r="D36" s="442"/>
      <c r="E36" s="443"/>
      <c r="F36" s="438" t="s">
        <v>54</v>
      </c>
      <c r="G36" s="439"/>
      <c r="H36" s="439"/>
      <c r="I36" s="439"/>
      <c r="J36" s="439"/>
      <c r="K36" s="439"/>
      <c r="L36" s="440"/>
      <c r="M36" s="127"/>
      <c r="N36" s="111"/>
      <c r="O36" s="111"/>
      <c r="P36" s="111"/>
      <c r="Q36" s="111"/>
      <c r="R36" s="122"/>
      <c r="S36" s="122"/>
      <c r="T36" s="122"/>
    </row>
    <row r="37" spans="2:20" x14ac:dyDescent="0.6">
      <c r="B37" s="9"/>
      <c r="C37" s="437"/>
      <c r="D37" s="437"/>
      <c r="E37" s="437"/>
      <c r="F37" s="446" t="str">
        <f>IF(AND(D6="Reifeprüfung",F36="Gesamtverrechnung"),"Auf RP-Modell umstellen!!","")</f>
        <v/>
      </c>
      <c r="G37" s="446"/>
      <c r="H37" s="446"/>
      <c r="I37" s="446"/>
      <c r="J37" s="446"/>
      <c r="K37" s="446"/>
      <c r="L37" s="446"/>
      <c r="M37" s="122"/>
      <c r="N37" s="122"/>
      <c r="O37" s="122"/>
      <c r="P37" s="122"/>
      <c r="Q37" s="122"/>
      <c r="R37" s="122"/>
      <c r="S37" s="122"/>
      <c r="T37" s="122"/>
    </row>
    <row r="38" spans="2:20" ht="15.75" customHeight="1" x14ac:dyDescent="0.6">
      <c r="C38" s="436" t="str">
        <f>IF(AND(C11*C17*C24*(C31+C32)=0,F36="RP-Modell"),"Eine Schularbeit nach RP-Modell muss alle vier Bereiche Lesen, Hören, SiK und Schreiben enthalten","")</f>
        <v/>
      </c>
      <c r="D38" s="436"/>
      <c r="E38" s="436"/>
      <c r="F38" s="436"/>
      <c r="G38" s="436"/>
      <c r="H38" s="436"/>
      <c r="I38" s="436"/>
      <c r="J38" s="436"/>
      <c r="K38" s="436"/>
      <c r="L38" s="436"/>
    </row>
    <row r="39" spans="2:20" x14ac:dyDescent="0.6">
      <c r="C39" s="436"/>
      <c r="D39" s="436"/>
      <c r="E39" s="436"/>
      <c r="F39" s="436"/>
      <c r="G39" s="436"/>
      <c r="H39" s="436"/>
      <c r="I39" s="436"/>
      <c r="J39" s="436"/>
      <c r="K39" s="436"/>
      <c r="L39" s="436"/>
    </row>
    <row r="40" spans="2:20" x14ac:dyDescent="0.6">
      <c r="C40" s="436"/>
      <c r="D40" s="436"/>
      <c r="E40" s="436"/>
      <c r="F40" s="436"/>
      <c r="G40" s="436"/>
      <c r="H40" s="436"/>
      <c r="I40" s="436"/>
      <c r="J40" s="436"/>
      <c r="K40" s="436"/>
      <c r="L40" s="436"/>
    </row>
    <row r="41" spans="2:20" x14ac:dyDescent="0.6">
      <c r="C41" s="436"/>
      <c r="D41" s="436"/>
      <c r="E41" s="436"/>
      <c r="F41" s="436"/>
      <c r="G41" s="436"/>
      <c r="H41" s="436"/>
      <c r="I41" s="436"/>
      <c r="J41" s="436"/>
      <c r="K41" s="436"/>
      <c r="L41" s="436"/>
    </row>
  </sheetData>
  <sheetProtection password="C570" sheet="1" objects="1" scenarios="1" selectLockedCells="1"/>
  <mergeCells count="26">
    <mergeCell ref="N14:P14"/>
    <mergeCell ref="N25:P25"/>
    <mergeCell ref="O5:P5"/>
    <mergeCell ref="C9:C10"/>
    <mergeCell ref="D9:D10"/>
    <mergeCell ref="E9:E10"/>
    <mergeCell ref="G9:G10"/>
    <mergeCell ref="L9:L10"/>
    <mergeCell ref="H8:J8"/>
    <mergeCell ref="F9:F10"/>
    <mergeCell ref="D6:E6"/>
    <mergeCell ref="D7:E7"/>
    <mergeCell ref="F5:G5"/>
    <mergeCell ref="B4:C7"/>
    <mergeCell ref="F6:G6"/>
    <mergeCell ref="F7:G7"/>
    <mergeCell ref="F4:G4"/>
    <mergeCell ref="F34:L34"/>
    <mergeCell ref="D4:E4"/>
    <mergeCell ref="D5:E5"/>
    <mergeCell ref="C38:L41"/>
    <mergeCell ref="C37:E37"/>
    <mergeCell ref="F36:L36"/>
    <mergeCell ref="B36:E36"/>
    <mergeCell ref="B9:B10"/>
    <mergeCell ref="F37:L37"/>
  </mergeCells>
  <phoneticPr fontId="32" type="noConversion"/>
  <dataValidations count="5">
    <dataValidation type="list" allowBlank="1" showInputMessage="1" showErrorMessage="1" sqref="C31:C32 C24 C17 C11">
      <formula1>$M$10:$M$11</formula1>
    </dataValidation>
    <dataValidation type="whole" operator="greaterThanOrEqual" allowBlank="1" showInputMessage="1" showErrorMessage="1" errorTitle="Ungültige Eingabe" error="Die Zahl der Items muss größer 0 sein!" sqref="D12:D15 D18:D21 D25:D28">
      <formula1>1</formula1>
    </dataValidation>
    <dataValidation type="list" allowBlank="1" showInputMessage="1" showErrorMessage="1" sqref="L18:L21">
      <formula1>$M$17:$M$20</formula1>
    </dataValidation>
    <dataValidation type="list" allowBlank="1" showInputMessage="1" showErrorMessage="1" sqref="F36:L36">
      <formula1>$F$35:$G$35</formula1>
    </dataValidation>
    <dataValidation type="list" allowBlank="1" showInputMessage="1" showErrorMessage="1" sqref="D6:E6">
      <formula1>"Schularbeit,Reifeprüfung"</formula1>
    </dataValidation>
  </dataValidations>
  <pageMargins left="0.55118110236220474" right="0.55118110236220474" top="0.98425196850393704" bottom="0.98425196850393704" header="0.51181102362204722" footer="0.51181102362204722"/>
  <pageSetup paperSize="9" scale="65" orientation="portrait" r:id="rId1"/>
  <drawing r:id="rId2"/>
  <legacyDrawing r:id="rId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B3:AD57"/>
  <sheetViews>
    <sheetView zoomScale="80" zoomScaleNormal="80" workbookViewId="0">
      <selection activeCell="C24" sqref="C24"/>
    </sheetView>
  </sheetViews>
  <sheetFormatPr defaultColWidth="10.796875" defaultRowHeight="15.6" x14ac:dyDescent="0.6"/>
  <cols>
    <col min="1" max="1" width="4.5" customWidth="1"/>
    <col min="2" max="2" width="4.09765625" customWidth="1"/>
    <col min="3" max="3" width="22.34765625" customWidth="1"/>
    <col min="4" max="4" width="5.75" customWidth="1"/>
    <col min="5" max="5" width="5.59765625" customWidth="1"/>
    <col min="6" max="6" width="5.5" customWidth="1"/>
    <col min="7" max="7" width="7.84765625" customWidth="1"/>
    <col min="8" max="8" width="9.59765625" customWidth="1"/>
    <col min="9" max="9" width="5.59765625" customWidth="1"/>
    <col min="10" max="10" width="4.09765625" customWidth="1"/>
    <col min="11" max="13" width="3.59765625" customWidth="1"/>
    <col min="14" max="14" width="4.09765625" customWidth="1"/>
    <col min="15" max="17" width="3.59765625" customWidth="1"/>
    <col min="18" max="18" width="3.84765625" customWidth="1"/>
    <col min="19" max="19" width="4.09765625" customWidth="1"/>
    <col min="20" max="20" width="7.34765625" customWidth="1"/>
    <col min="21" max="21" width="10" bestFit="1" customWidth="1"/>
    <col min="22" max="22" width="3.09765625" customWidth="1"/>
    <col min="23" max="23" width="6.34765625" hidden="1" customWidth="1"/>
    <col min="24" max="24" width="9.25" customWidth="1"/>
    <col min="25" max="25" width="5.84765625" customWidth="1"/>
    <col min="26" max="26" width="14.09765625" customWidth="1"/>
    <col min="30" max="30" width="13.5" customWidth="1"/>
  </cols>
  <sheetData>
    <row r="3" spans="2:30" ht="18.75" customHeight="1" thickBot="1" x14ac:dyDescent="0.65">
      <c r="B3" s="535" t="s">
        <v>67</v>
      </c>
      <c r="C3" s="535"/>
      <c r="D3" s="535"/>
      <c r="E3" s="535"/>
      <c r="F3" s="535"/>
      <c r="G3" s="154"/>
      <c r="H3" s="548" t="s">
        <v>26</v>
      </c>
      <c r="I3" s="548"/>
      <c r="J3" s="548"/>
      <c r="K3" s="549"/>
      <c r="L3" s="585" t="s">
        <v>68</v>
      </c>
      <c r="M3" s="548"/>
      <c r="N3" s="548"/>
      <c r="O3" s="548"/>
      <c r="P3" s="548"/>
      <c r="Q3" s="548"/>
      <c r="R3" s="548"/>
      <c r="S3" s="285"/>
      <c r="T3" s="577" t="s">
        <v>107</v>
      </c>
      <c r="U3" s="577"/>
      <c r="V3" s="577"/>
      <c r="W3" s="577"/>
      <c r="X3" s="577"/>
      <c r="Y3" s="577"/>
      <c r="Z3" s="577"/>
      <c r="AB3" s="9"/>
      <c r="AC3" s="531"/>
      <c r="AD3" s="532"/>
    </row>
    <row r="4" spans="2:30" ht="15" customHeight="1" thickTop="1" x14ac:dyDescent="0.6">
      <c r="B4" s="535"/>
      <c r="C4" s="535"/>
      <c r="D4" s="535"/>
      <c r="E4" s="535"/>
      <c r="F4" s="535"/>
      <c r="G4" s="271"/>
      <c r="H4" s="559" t="s">
        <v>11</v>
      </c>
      <c r="I4" s="560"/>
      <c r="J4" s="560"/>
      <c r="K4" s="561"/>
      <c r="L4" s="562">
        <f>COUNTIF(Klassenübersicht!$Z$24:$Z$51,1)</f>
        <v>0</v>
      </c>
      <c r="M4" s="563"/>
      <c r="N4" s="564"/>
      <c r="O4" s="579">
        <f>ROUND(Planungsblatt!$P7,1)</f>
        <v>0</v>
      </c>
      <c r="P4" s="580"/>
      <c r="Q4" s="580"/>
      <c r="R4" s="321" t="s">
        <v>52</v>
      </c>
      <c r="S4" s="284"/>
      <c r="T4" s="536" t="s">
        <v>11</v>
      </c>
      <c r="U4" s="537"/>
      <c r="V4" s="538"/>
      <c r="W4" s="287"/>
      <c r="X4" s="310">
        <f>X7+(X15-X17)*0.75</f>
        <v>90</v>
      </c>
      <c r="Y4" s="311" t="s">
        <v>110</v>
      </c>
      <c r="Z4" s="310">
        <f>X15</f>
        <v>100</v>
      </c>
      <c r="AB4" s="10"/>
      <c r="AC4" s="279"/>
      <c r="AD4" s="279"/>
    </row>
    <row r="5" spans="2:30" ht="15" customHeight="1" x14ac:dyDescent="0.6">
      <c r="B5" s="535"/>
      <c r="C5" s="535"/>
      <c r="D5" s="535"/>
      <c r="E5" s="535"/>
      <c r="F5" s="535"/>
      <c r="G5" s="272"/>
      <c r="H5" s="565" t="s">
        <v>12</v>
      </c>
      <c r="I5" s="566"/>
      <c r="J5" s="566"/>
      <c r="K5" s="567"/>
      <c r="L5" s="550">
        <f>COUNTIF(Klassenübersicht!$Z$24:$Z$51,2)</f>
        <v>0</v>
      </c>
      <c r="M5" s="551"/>
      <c r="N5" s="552"/>
      <c r="O5" s="579">
        <f>ROUND(Planungsblatt!$P8,1)</f>
        <v>0</v>
      </c>
      <c r="P5" s="580"/>
      <c r="Q5" s="580"/>
      <c r="R5" s="322" t="s">
        <v>52</v>
      </c>
      <c r="S5" s="284"/>
      <c r="T5" s="539" t="s">
        <v>12</v>
      </c>
      <c r="U5" s="540"/>
      <c r="V5" s="541"/>
      <c r="W5" s="312"/>
      <c r="X5" s="310">
        <f>X7+(X15-X17)*0.5</f>
        <v>80</v>
      </c>
      <c r="Y5" s="313" t="s">
        <v>111</v>
      </c>
      <c r="Z5" s="310">
        <f>X4</f>
        <v>90</v>
      </c>
      <c r="AB5" s="276"/>
      <c r="AC5" s="280"/>
      <c r="AD5" s="281"/>
    </row>
    <row r="6" spans="2:30" ht="15" customHeight="1" x14ac:dyDescent="0.6">
      <c r="B6" s="533" t="s">
        <v>16</v>
      </c>
      <c r="C6" s="533"/>
      <c r="D6" s="345">
        <f>Planungsblatt!F5</f>
        <v>0</v>
      </c>
      <c r="E6" s="269"/>
      <c r="F6" s="269"/>
      <c r="G6" s="272"/>
      <c r="H6" s="568" t="s">
        <v>13</v>
      </c>
      <c r="I6" s="569"/>
      <c r="J6" s="569"/>
      <c r="K6" s="570"/>
      <c r="L6" s="550">
        <f>COUNTIF(Klassenübersicht!$Z$24:$Z$51,3)</f>
        <v>0</v>
      </c>
      <c r="M6" s="551"/>
      <c r="N6" s="552"/>
      <c r="O6" s="579">
        <f>ROUND(Planungsblatt!$P9,1)</f>
        <v>0</v>
      </c>
      <c r="P6" s="580"/>
      <c r="Q6" s="580"/>
      <c r="R6" s="322" t="s">
        <v>52</v>
      </c>
      <c r="S6" s="284"/>
      <c r="T6" s="539" t="s">
        <v>13</v>
      </c>
      <c r="U6" s="540"/>
      <c r="V6" s="541"/>
      <c r="W6" s="312"/>
      <c r="X6" s="310">
        <f>X7+(X15-X17)*0.25</f>
        <v>70</v>
      </c>
      <c r="Y6" s="314" t="s">
        <v>111</v>
      </c>
      <c r="Z6" s="310">
        <f>X5</f>
        <v>80</v>
      </c>
      <c r="AB6" s="277"/>
      <c r="AC6" s="280"/>
      <c r="AD6" s="282"/>
    </row>
    <row r="7" spans="2:30" ht="15" customHeight="1" x14ac:dyDescent="0.6">
      <c r="B7" s="534" t="str">
        <f>Planungsblatt!D6</f>
        <v>Reifeprüfung</v>
      </c>
      <c r="C7" s="534"/>
      <c r="D7" s="346" t="str">
        <f>IF(Planungsblatt!F6="","",Planungsblatt!F6)</f>
        <v/>
      </c>
      <c r="E7" s="270"/>
      <c r="F7" s="270"/>
      <c r="G7" s="273"/>
      <c r="H7" s="568" t="s">
        <v>14</v>
      </c>
      <c r="I7" s="569"/>
      <c r="J7" s="569"/>
      <c r="K7" s="570"/>
      <c r="L7" s="550">
        <f>COUNTIF(Klassenübersicht!$Z$24:$Z$51,4)</f>
        <v>0</v>
      </c>
      <c r="M7" s="551"/>
      <c r="N7" s="552"/>
      <c r="O7" s="579">
        <f>ROUND(Planungsblatt!$P10,1)</f>
        <v>0</v>
      </c>
      <c r="P7" s="580"/>
      <c r="Q7" s="580"/>
      <c r="R7" s="322" t="s">
        <v>52</v>
      </c>
      <c r="S7" s="284"/>
      <c r="T7" s="539" t="s">
        <v>14</v>
      </c>
      <c r="U7" s="540"/>
      <c r="V7" s="541"/>
      <c r="W7" s="315"/>
      <c r="X7" s="310">
        <f>Z8</f>
        <v>60</v>
      </c>
      <c r="Y7" s="316" t="s">
        <v>111</v>
      </c>
      <c r="Z7" s="310">
        <f>X6</f>
        <v>70</v>
      </c>
      <c r="AB7" s="278"/>
      <c r="AC7" s="280"/>
      <c r="AD7" s="282"/>
    </row>
    <row r="8" spans="2:30" s="1" customFormat="1" ht="15" customHeight="1" thickBot="1" x14ac:dyDescent="0.65">
      <c r="B8" s="125"/>
      <c r="C8" s="497"/>
      <c r="D8" s="498"/>
      <c r="E8" s="125"/>
      <c r="F8" s="125"/>
      <c r="G8" s="274"/>
      <c r="H8" s="542" t="s">
        <v>50</v>
      </c>
      <c r="I8" s="543"/>
      <c r="J8" s="543"/>
      <c r="K8" s="544"/>
      <c r="L8" s="553">
        <f>COUNTIF(Klassenübersicht!$Z$24:$Z$51,5)</f>
        <v>0</v>
      </c>
      <c r="M8" s="554"/>
      <c r="N8" s="555"/>
      <c r="O8" s="581">
        <f>ROUND(Planungsblatt!$P11,1)</f>
        <v>0</v>
      </c>
      <c r="P8" s="582"/>
      <c r="Q8" s="582"/>
      <c r="R8" s="323" t="s">
        <v>52</v>
      </c>
      <c r="S8" s="284"/>
      <c r="T8" s="574" t="s">
        <v>50</v>
      </c>
      <c r="U8" s="575"/>
      <c r="V8" s="576"/>
      <c r="W8" s="317"/>
      <c r="X8" s="318">
        <v>0</v>
      </c>
      <c r="Y8" s="319" t="s">
        <v>111</v>
      </c>
      <c r="Z8" s="320">
        <f>X17</f>
        <v>60</v>
      </c>
      <c r="AB8" s="278"/>
      <c r="AC8" s="280"/>
      <c r="AD8" s="282"/>
    </row>
    <row r="9" spans="2:30" s="1" customFormat="1" ht="16.2" thickTop="1" thickBot="1" x14ac:dyDescent="0.65">
      <c r="B9" s="512" t="s">
        <v>58</v>
      </c>
      <c r="C9" s="512"/>
      <c r="D9" s="492" t="str">
        <f>Planungsblatt!F36</f>
        <v>RP-Modell</v>
      </c>
      <c r="E9" s="493"/>
      <c r="F9" s="494"/>
      <c r="G9" s="275"/>
      <c r="H9" s="545" t="s">
        <v>69</v>
      </c>
      <c r="I9" s="546"/>
      <c r="J9" s="546"/>
      <c r="K9" s="547"/>
      <c r="L9" s="556">
        <f>SUM(L4:L8)</f>
        <v>0</v>
      </c>
      <c r="M9" s="557"/>
      <c r="N9" s="558"/>
      <c r="O9" s="583">
        <f>ROUND(Planungsblatt!$P12,1)</f>
        <v>0</v>
      </c>
      <c r="P9" s="584"/>
      <c r="Q9" s="584"/>
      <c r="R9" s="324" t="s">
        <v>52</v>
      </c>
      <c r="S9" s="286"/>
      <c r="T9" s="578"/>
      <c r="U9" s="578"/>
      <c r="V9" s="578"/>
      <c r="W9" s="578"/>
      <c r="X9" s="578"/>
      <c r="Y9" s="578"/>
      <c r="Z9" s="578"/>
      <c r="AB9" s="278"/>
      <c r="AC9" s="280"/>
      <c r="AD9" s="282"/>
    </row>
    <row r="10" spans="2:30" s="1" customFormat="1" ht="15.75" customHeight="1" thickBot="1" x14ac:dyDescent="0.65">
      <c r="E10" s="49"/>
      <c r="F10" s="49"/>
      <c r="G10" s="165"/>
      <c r="H10" s="165"/>
      <c r="I10" s="49"/>
      <c r="J10" s="49"/>
      <c r="K10" s="49"/>
      <c r="L10" s="49"/>
      <c r="M10" s="49"/>
      <c r="N10" s="49"/>
      <c r="O10" s="49"/>
      <c r="P10" s="114"/>
      <c r="Q10" s="114"/>
      <c r="R10" s="114"/>
      <c r="S10" s="114"/>
      <c r="T10" s="114"/>
      <c r="U10" s="114"/>
      <c r="V10" s="114"/>
      <c r="W10" s="114"/>
      <c r="X10" s="114"/>
      <c r="Y10" s="286"/>
      <c r="AB10" s="276"/>
      <c r="AC10" s="283"/>
      <c r="AD10" s="281"/>
    </row>
    <row r="11" spans="2:30" ht="15.75" customHeight="1" thickTop="1" thickBot="1" x14ac:dyDescent="0.65">
      <c r="B11" s="519"/>
      <c r="C11" s="520"/>
      <c r="D11" s="511"/>
      <c r="E11" s="58" t="s">
        <v>5</v>
      </c>
      <c r="F11" s="59" t="s">
        <v>6</v>
      </c>
      <c r="G11" s="474" t="s">
        <v>55</v>
      </c>
      <c r="H11" s="475"/>
      <c r="I11" s="161" t="s">
        <v>20</v>
      </c>
      <c r="J11" s="483" t="s">
        <v>7</v>
      </c>
      <c r="K11" s="484"/>
      <c r="L11" s="484"/>
      <c r="M11" s="484"/>
      <c r="N11" s="485"/>
      <c r="O11" s="483" t="s">
        <v>8</v>
      </c>
      <c r="P11" s="484"/>
      <c r="Q11" s="484"/>
      <c r="R11" s="484"/>
      <c r="S11" s="485"/>
      <c r="T11" s="510" t="s">
        <v>56</v>
      </c>
      <c r="U11" s="511"/>
      <c r="V11" s="56"/>
      <c r="W11" s="57"/>
      <c r="X11" s="293"/>
      <c r="Y11" s="291"/>
    </row>
    <row r="12" spans="2:30" ht="16.5" hidden="1" customHeight="1" x14ac:dyDescent="0.6">
      <c r="B12" s="43"/>
      <c r="C12" s="525"/>
      <c r="D12" s="526"/>
      <c r="E12" s="55"/>
      <c r="F12" s="51"/>
      <c r="G12" s="60"/>
      <c r="H12" s="166"/>
      <c r="I12" s="121"/>
      <c r="J12" s="522"/>
      <c r="K12" s="522"/>
      <c r="L12" s="522"/>
      <c r="M12" s="523"/>
      <c r="N12" s="61"/>
      <c r="O12" s="524"/>
      <c r="P12" s="522"/>
      <c r="Q12" s="522"/>
      <c r="R12" s="523"/>
      <c r="S12" s="61"/>
      <c r="T12" s="55"/>
      <c r="U12" s="52"/>
      <c r="V12" s="53"/>
      <c r="W12" s="54"/>
      <c r="X12" s="52"/>
      <c r="Y12" s="292"/>
      <c r="Z12" s="1"/>
      <c r="AA12" s="7"/>
      <c r="AB12" s="8"/>
    </row>
    <row r="13" spans="2:30" ht="15.75" customHeight="1" x14ac:dyDescent="0.6">
      <c r="B13" s="507" t="s">
        <v>9</v>
      </c>
      <c r="C13" s="508"/>
      <c r="D13" s="509"/>
      <c r="E13" s="88">
        <f>IF(Planungsblatt!C11=1,Planungsblatt!D11,0)</f>
        <v>32</v>
      </c>
      <c r="F13" s="89">
        <f>IF(Planungsblatt!C17=1,Planungsblatt!D17,0)</f>
        <v>29</v>
      </c>
      <c r="G13" s="476"/>
      <c r="H13" s="477"/>
      <c r="I13" s="162">
        <f>IF(Planungsblatt!C24=1,Planungsblatt!D24,0)</f>
        <v>47</v>
      </c>
      <c r="J13" s="486">
        <f>IF(Planungsblatt!C31=1,Planungsblatt!D31,0)</f>
        <v>40</v>
      </c>
      <c r="K13" s="487"/>
      <c r="L13" s="487"/>
      <c r="M13" s="487"/>
      <c r="N13" s="488"/>
      <c r="O13" s="486">
        <f>IF(Planungsblatt!C32&gt;0,Planungsblatt!D32,0)</f>
        <v>40</v>
      </c>
      <c r="P13" s="487"/>
      <c r="Q13" s="487"/>
      <c r="R13" s="487"/>
      <c r="S13" s="488"/>
      <c r="T13" s="45"/>
      <c r="U13" s="65"/>
      <c r="V13" s="48"/>
      <c r="W13" s="46"/>
      <c r="X13" s="294"/>
      <c r="Y13" s="287"/>
      <c r="AA13" s="44"/>
      <c r="AB13" s="44"/>
    </row>
    <row r="14" spans="2:30" ht="14.25" customHeight="1" x14ac:dyDescent="0.6">
      <c r="B14" s="507" t="s">
        <v>80</v>
      </c>
      <c r="C14" s="508"/>
      <c r="D14" s="509"/>
      <c r="E14" s="90">
        <f>Planungsblatt!F11</f>
        <v>0.78125</v>
      </c>
      <c r="F14" s="91">
        <f>Planungsblatt!F17</f>
        <v>0.86206896551724133</v>
      </c>
      <c r="G14" s="478"/>
      <c r="H14" s="479"/>
      <c r="I14" s="163">
        <f>Planungsblatt!F24</f>
        <v>0.53191489361702127</v>
      </c>
      <c r="J14" s="489">
        <f>Planungsblatt!F30</f>
        <v>0.3125</v>
      </c>
      <c r="K14" s="490"/>
      <c r="L14" s="490"/>
      <c r="M14" s="490"/>
      <c r="N14" s="491"/>
      <c r="O14" s="489">
        <f>Planungsblatt!F30</f>
        <v>0.3125</v>
      </c>
      <c r="P14" s="490"/>
      <c r="Q14" s="490"/>
      <c r="R14" s="490"/>
      <c r="S14" s="491"/>
      <c r="T14" s="45"/>
      <c r="U14" s="65"/>
      <c r="V14" s="66"/>
      <c r="W14" s="67"/>
      <c r="X14" s="295"/>
      <c r="Y14" s="288"/>
    </row>
    <row r="15" spans="2:30" ht="13.5" customHeight="1" x14ac:dyDescent="0.6">
      <c r="B15" s="513" t="s">
        <v>64</v>
      </c>
      <c r="C15" s="514"/>
      <c r="D15" s="515"/>
      <c r="E15" s="88">
        <f>E14*E13</f>
        <v>25</v>
      </c>
      <c r="F15" s="92">
        <f>F14*F13</f>
        <v>25</v>
      </c>
      <c r="G15" s="325">
        <v>50</v>
      </c>
      <c r="H15" s="403">
        <f>E15+F15</f>
        <v>50</v>
      </c>
      <c r="I15" s="164">
        <f>I14*I13</f>
        <v>25</v>
      </c>
      <c r="J15" s="489">
        <f>J13*J14</f>
        <v>12.5</v>
      </c>
      <c r="K15" s="490"/>
      <c r="L15" s="490"/>
      <c r="M15" s="490"/>
      <c r="N15" s="491"/>
      <c r="O15" s="489">
        <f>O13*O14</f>
        <v>12.5</v>
      </c>
      <c r="P15" s="490"/>
      <c r="Q15" s="490"/>
      <c r="R15" s="490"/>
      <c r="S15" s="491"/>
      <c r="T15" s="328">
        <f>I15+J15+O15</f>
        <v>50</v>
      </c>
      <c r="U15" s="404">
        <f>I15+J15+O15</f>
        <v>50</v>
      </c>
      <c r="V15" s="66"/>
      <c r="W15" s="168"/>
      <c r="X15" s="400">
        <f>H15+U15</f>
        <v>100</v>
      </c>
      <c r="Y15" s="288"/>
    </row>
    <row r="16" spans="2:30" ht="13.5" hidden="1" customHeight="1" x14ac:dyDescent="0.6">
      <c r="B16" s="513" t="s">
        <v>10</v>
      </c>
      <c r="C16" s="514"/>
      <c r="D16" s="515"/>
      <c r="E16" s="527">
        <v>0.5</v>
      </c>
      <c r="F16" s="528"/>
      <c r="G16" s="326"/>
      <c r="H16" s="167"/>
      <c r="I16" s="495">
        <v>0.5</v>
      </c>
      <c r="J16" s="496"/>
      <c r="K16" s="496"/>
      <c r="L16" s="496"/>
      <c r="M16" s="496"/>
      <c r="N16" s="496"/>
      <c r="O16" s="496"/>
      <c r="P16" s="496"/>
      <c r="Q16" s="496"/>
      <c r="R16" s="496"/>
      <c r="S16" s="488"/>
      <c r="T16" s="328"/>
      <c r="U16" s="68"/>
      <c r="V16" s="69"/>
      <c r="W16" s="169"/>
      <c r="X16" s="401">
        <v>0.6</v>
      </c>
      <c r="Y16" s="289"/>
    </row>
    <row r="17" spans="2:30" ht="13.5" customHeight="1" thickBot="1" x14ac:dyDescent="0.65">
      <c r="B17" s="516" t="s">
        <v>65</v>
      </c>
      <c r="C17" s="517"/>
      <c r="D17" s="518"/>
      <c r="E17" s="71"/>
      <c r="F17" s="73"/>
      <c r="G17" s="327">
        <f>$H$17</f>
        <v>25</v>
      </c>
      <c r="H17" s="399">
        <f>H15*E16</f>
        <v>25</v>
      </c>
      <c r="I17" s="480"/>
      <c r="J17" s="481"/>
      <c r="K17" s="481"/>
      <c r="L17" s="481"/>
      <c r="M17" s="481"/>
      <c r="N17" s="481"/>
      <c r="O17" s="481"/>
      <c r="P17" s="481"/>
      <c r="Q17" s="481"/>
      <c r="R17" s="481"/>
      <c r="S17" s="482"/>
      <c r="T17" s="329">
        <f>$U$17</f>
        <v>25</v>
      </c>
      <c r="U17" s="398">
        <f>U15*I16</f>
        <v>25</v>
      </c>
      <c r="V17" s="72"/>
      <c r="W17" s="170"/>
      <c r="X17" s="402">
        <f>X15*X16</f>
        <v>60</v>
      </c>
      <c r="Y17" s="290"/>
    </row>
    <row r="18" spans="2:30" ht="17.25" customHeight="1" thickBot="1" x14ac:dyDescent="0.65">
      <c r="W18" s="21"/>
      <c r="X18" s="21"/>
      <c r="Y18" s="21"/>
      <c r="Z18" s="21"/>
      <c r="AA18" s="21"/>
    </row>
    <row r="19" spans="2:30" ht="15.9" thickTop="1" x14ac:dyDescent="0.6">
      <c r="B19" s="3"/>
      <c r="C19" s="4"/>
      <c r="D19" s="50"/>
      <c r="E19" s="26" t="s">
        <v>5</v>
      </c>
      <c r="F19" s="34" t="s">
        <v>6</v>
      </c>
      <c r="G19" s="505" t="s">
        <v>55</v>
      </c>
      <c r="H19" s="506"/>
      <c r="I19" s="32" t="s">
        <v>20</v>
      </c>
      <c r="J19" s="501" t="s">
        <v>7</v>
      </c>
      <c r="K19" s="501"/>
      <c r="L19" s="501"/>
      <c r="M19" s="501"/>
      <c r="N19" s="502"/>
      <c r="O19" s="503" t="s">
        <v>8</v>
      </c>
      <c r="P19" s="501"/>
      <c r="Q19" s="501"/>
      <c r="R19" s="501"/>
      <c r="S19" s="504"/>
      <c r="T19" s="499" t="s">
        <v>56</v>
      </c>
      <c r="U19" s="500"/>
      <c r="V19" s="22"/>
      <c r="W19" s="22"/>
      <c r="X19" s="40" t="s">
        <v>60</v>
      </c>
      <c r="Y19" s="375" t="s">
        <v>99</v>
      </c>
      <c r="Z19" s="571" t="s">
        <v>108</v>
      </c>
      <c r="AB19" s="2"/>
      <c r="AD19" s="44"/>
    </row>
    <row r="20" spans="2:30" ht="23.25" hidden="1" customHeight="1" x14ac:dyDescent="0.6">
      <c r="B20" s="5" t="s">
        <v>17</v>
      </c>
      <c r="C20" s="6" t="s">
        <v>18</v>
      </c>
      <c r="D20" s="47" t="s">
        <v>19</v>
      </c>
      <c r="E20" s="27" t="s">
        <v>5</v>
      </c>
      <c r="F20" s="35" t="s">
        <v>6</v>
      </c>
      <c r="G20" s="36"/>
      <c r="H20" s="37" t="s">
        <v>27</v>
      </c>
      <c r="I20" s="33" t="s">
        <v>20</v>
      </c>
      <c r="J20" s="19" t="s">
        <v>21</v>
      </c>
      <c r="K20" s="16" t="s">
        <v>22</v>
      </c>
      <c r="L20" s="16" t="s">
        <v>23</v>
      </c>
      <c r="M20" s="16" t="s">
        <v>24</v>
      </c>
      <c r="N20" s="17">
        <v>1</v>
      </c>
      <c r="O20" s="16" t="s">
        <v>21</v>
      </c>
      <c r="P20" s="16" t="s">
        <v>22</v>
      </c>
      <c r="Q20" s="16" t="s">
        <v>23</v>
      </c>
      <c r="R20" s="16" t="s">
        <v>24</v>
      </c>
      <c r="S20" s="20">
        <v>2</v>
      </c>
      <c r="T20" s="36" t="s">
        <v>25</v>
      </c>
      <c r="U20" s="38" t="s">
        <v>28</v>
      </c>
      <c r="V20" s="23"/>
      <c r="W20" s="23"/>
      <c r="X20" s="41" t="s">
        <v>29</v>
      </c>
      <c r="Y20" s="376" t="s">
        <v>26</v>
      </c>
      <c r="Z20" s="572"/>
      <c r="AB20" s="2"/>
    </row>
    <row r="21" spans="2:30" ht="31.5" x14ac:dyDescent="0.6">
      <c r="B21" s="5"/>
      <c r="C21" s="6"/>
      <c r="D21" s="47"/>
      <c r="E21" s="27"/>
      <c r="F21" s="35"/>
      <c r="G21" s="424" t="s">
        <v>116</v>
      </c>
      <c r="H21" s="331" t="str">
        <f>IF(Planungsblatt!$F$36="Gesamtverrechnung","GV","RP-Modell")</f>
        <v>RP-Modell</v>
      </c>
      <c r="I21" s="87" t="s">
        <v>20</v>
      </c>
      <c r="J21" s="31" t="s">
        <v>21</v>
      </c>
      <c r="K21" s="29" t="s">
        <v>22</v>
      </c>
      <c r="L21" s="29" t="s">
        <v>23</v>
      </c>
      <c r="M21" s="30" t="s">
        <v>24</v>
      </c>
      <c r="N21" s="39" t="s">
        <v>59</v>
      </c>
      <c r="O21" s="31" t="s">
        <v>21</v>
      </c>
      <c r="P21" s="29" t="s">
        <v>22</v>
      </c>
      <c r="Q21" s="29" t="s">
        <v>23</v>
      </c>
      <c r="R21" s="30" t="s">
        <v>24</v>
      </c>
      <c r="S21" s="39" t="s">
        <v>59</v>
      </c>
      <c r="T21" s="424" t="s">
        <v>116</v>
      </c>
      <c r="U21" s="330" t="str">
        <f>IF(Planungsblatt!$F$36="Gesamtverrechnung","GV","RP-Modell")</f>
        <v>RP-Modell</v>
      </c>
      <c r="V21" s="24"/>
      <c r="W21" s="28" t="s">
        <v>57</v>
      </c>
      <c r="X21" s="115" t="str">
        <f>IF(Planungsblatt!$F$36="Gesamtverrechnung","GV","RP-Modell")</f>
        <v>RP-Modell</v>
      </c>
      <c r="Y21" s="377" t="str">
        <f>IF(Planungsblatt!$F$36="Gesamtverrechnung","GV","RP-Modell")</f>
        <v>RP-Modell</v>
      </c>
      <c r="Z21" s="573"/>
      <c r="AB21" s="2"/>
    </row>
    <row r="22" spans="2:30" x14ac:dyDescent="0.6">
      <c r="B22" s="5"/>
      <c r="C22" s="529" t="s">
        <v>66</v>
      </c>
      <c r="D22" s="530"/>
      <c r="E22" s="332">
        <f>E13</f>
        <v>32</v>
      </c>
      <c r="F22" s="333">
        <f>F13</f>
        <v>29</v>
      </c>
      <c r="G22" s="334">
        <f>G15</f>
        <v>50</v>
      </c>
      <c r="H22" s="335">
        <f>H15</f>
        <v>50</v>
      </c>
      <c r="I22" s="336">
        <f>I13</f>
        <v>47</v>
      </c>
      <c r="J22" s="337">
        <v>10</v>
      </c>
      <c r="K22" s="338">
        <v>10</v>
      </c>
      <c r="L22" s="338">
        <v>10</v>
      </c>
      <c r="M22" s="339">
        <v>10</v>
      </c>
      <c r="N22" s="340">
        <v>40</v>
      </c>
      <c r="O22" s="337">
        <v>10</v>
      </c>
      <c r="P22" s="338">
        <v>10</v>
      </c>
      <c r="Q22" s="338">
        <v>10</v>
      </c>
      <c r="R22" s="339">
        <v>10</v>
      </c>
      <c r="S22" s="340">
        <v>40</v>
      </c>
      <c r="T22" s="334">
        <f>T15</f>
        <v>50</v>
      </c>
      <c r="U22" s="341">
        <f>U15</f>
        <v>50</v>
      </c>
      <c r="V22" s="342"/>
      <c r="W22" s="343">
        <f>X15</f>
        <v>100</v>
      </c>
      <c r="X22" s="344">
        <f>X15</f>
        <v>100</v>
      </c>
      <c r="Y22" s="378"/>
      <c r="Z22" s="382"/>
      <c r="AB22" s="2"/>
    </row>
    <row r="23" spans="2:30" ht="15.9" thickBot="1" x14ac:dyDescent="0.65">
      <c r="B23" s="15"/>
      <c r="C23" s="74" t="s">
        <v>18</v>
      </c>
      <c r="D23" s="75" t="s">
        <v>103</v>
      </c>
      <c r="E23" s="76"/>
      <c r="F23" s="77"/>
      <c r="G23" s="78"/>
      <c r="H23" s="79"/>
      <c r="I23" s="80"/>
      <c r="J23" s="76"/>
      <c r="K23" s="81"/>
      <c r="L23" s="81"/>
      <c r="M23" s="82"/>
      <c r="N23" s="83"/>
      <c r="O23" s="76"/>
      <c r="P23" s="81"/>
      <c r="Q23" s="81"/>
      <c r="R23" s="82"/>
      <c r="S23" s="83"/>
      <c r="T23" s="78"/>
      <c r="U23" s="84"/>
      <c r="V23" s="85"/>
      <c r="W23" s="86"/>
      <c r="X23" s="116"/>
      <c r="Y23" s="379"/>
      <c r="Z23" s="383"/>
      <c r="AB23" s="2"/>
    </row>
    <row r="24" spans="2:30" x14ac:dyDescent="0.6">
      <c r="B24" s="63">
        <v>1</v>
      </c>
      <c r="C24" s="200"/>
      <c r="D24" s="368"/>
      <c r="E24" s="182"/>
      <c r="F24" s="183"/>
      <c r="G24" s="173" t="str">
        <f>IF(COUNT($E24:$F24)&gt;0,$E24*$E$14*Planungsblatt!C$11+$F24*$F$14*Planungsblatt!C$17,"")</f>
        <v/>
      </c>
      <c r="H24" s="174" t="str">
        <f>IF(COUNT(E24:F24)&gt;0,IF(Planungsblatt!F$36="Gesamtverrechnung",G24,IF(G24&gt;=G$17,G24,0)),"")</f>
        <v/>
      </c>
      <c r="I24" s="187"/>
      <c r="J24" s="188"/>
      <c r="K24" s="189"/>
      <c r="L24" s="189"/>
      <c r="M24" s="190"/>
      <c r="N24" s="191" t="str">
        <f>IF(COUNT(J24:M24)&gt;0,IF(J24&gt;0,SUM(J24:M24)*Planungsblatt!C$31,0),"")</f>
        <v/>
      </c>
      <c r="O24" s="188"/>
      <c r="P24" s="189"/>
      <c r="Q24" s="189"/>
      <c r="R24" s="190"/>
      <c r="S24" s="62" t="str">
        <f>IF(COUNT(O24:R24)&gt;0,IF(O24&gt;0,(O24+P24+Q24+R24)*Planungsblatt!C$32,0),"")</f>
        <v/>
      </c>
      <c r="T24" s="171" t="str">
        <f>IF(COUNT(I24,N24,S24)&gt;0,I24*$I$14+SUM(J24:M24)*$J$14+SUM(O24:R24)*$O$14,"")</f>
        <v/>
      </c>
      <c r="U24" s="172" t="str">
        <f>IF(COUNT(I24:M24,O24:R24)&gt;0,IF(Planungsblatt!F$36="Gesamtverrechnung",T24,IF(T24&gt;=T$17,T24,0)),"")</f>
        <v/>
      </c>
      <c r="V24" s="18"/>
      <c r="W24" s="25">
        <f>SUM(G24,T24)</f>
        <v>0</v>
      </c>
      <c r="X24" s="196" t="str">
        <f>IF(COUNT(H24,U24)&gt;0,SUM(H24,U24),"")</f>
        <v/>
      </c>
      <c r="Y24" s="380" t="str">
        <f t="shared" ref="Y24:Y51" si="0">IF(COUNT(X24)=0,"",IF(X24&lt;$Z$8,"5",IF(X24&lt;$Z$7,"4",IF(X24&lt;$Z$6,"3",IF(X24&lt;$Z$5,"2",IF(X24&lt;=$Z$4,"1",""))))))</f>
        <v/>
      </c>
      <c r="Z24" s="384"/>
      <c r="AA24" s="364">
        <f>Planungsblatt!F$2</f>
        <v>0</v>
      </c>
    </row>
    <row r="25" spans="2:30" x14ac:dyDescent="0.6">
      <c r="B25" s="64">
        <f>B24+1</f>
        <v>2</v>
      </c>
      <c r="C25" s="201"/>
      <c r="D25" s="369"/>
      <c r="E25" s="182"/>
      <c r="F25" s="184"/>
      <c r="G25" s="173" t="str">
        <f>IF(COUNT($E25:$F25)&gt;0,$E25*$E$14*Planungsblatt!C$11+$F25*$F$14*Planungsblatt!C$17,"")</f>
        <v/>
      </c>
      <c r="H25" s="174" t="str">
        <f>IF(COUNT(E25:F25)&gt;0,IF(Planungsblatt!F$36="Gesamtverrechnung",G25,IF(G25&gt;=G$17,G25,0)),"")</f>
        <v/>
      </c>
      <c r="I25" s="187"/>
      <c r="J25" s="192"/>
      <c r="K25" s="193"/>
      <c r="L25" s="193"/>
      <c r="M25" s="194"/>
      <c r="N25" s="195" t="str">
        <f>IF(COUNT(J25:M25)&gt;0,IF(J25&gt;0,SUM(J25:M25)*Planungsblatt!C$31,0),"")</f>
        <v/>
      </c>
      <c r="O25" s="192"/>
      <c r="P25" s="193"/>
      <c r="Q25" s="193"/>
      <c r="R25" s="194"/>
      <c r="S25" s="62" t="str">
        <f>IF(COUNT(O25:R25)&gt;0,IF(O25&gt;0,(O25+P25+Q25+R25)*Planungsblatt!C$32,0),"")</f>
        <v/>
      </c>
      <c r="T25" s="171" t="str">
        <f t="shared" ref="T25:T51" si="1">IF(COUNT(I25,N25,S25)&gt;0,I25*$I$14+SUM(J25:M25)*$J$14+SUM(O25:R25)*$O$14,"")</f>
        <v/>
      </c>
      <c r="U25" s="172" t="str">
        <f>IF(COUNT(I25:M25,O25:R25)&gt;0,IF(Planungsblatt!F$36="Gesamtverrechnung",T25,IF(T25&gt;=T$17,T25,0)),"")</f>
        <v/>
      </c>
      <c r="V25" s="18"/>
      <c r="W25" s="25">
        <f t="shared" ref="W25:W51" si="2">SUM(G25,T25)</f>
        <v>0</v>
      </c>
      <c r="X25" s="197" t="str">
        <f t="shared" ref="X25:X51" si="3">IF(COUNT(H25,U25)&gt;0,SUM(H25,U25),"")</f>
        <v/>
      </c>
      <c r="Y25" s="381" t="str">
        <f t="shared" si="0"/>
        <v/>
      </c>
      <c r="Z25" s="385"/>
      <c r="AA25" s="364">
        <f>Planungsblatt!F$2</f>
        <v>0</v>
      </c>
    </row>
    <row r="26" spans="2:30" x14ac:dyDescent="0.6">
      <c r="B26" s="64">
        <f t="shared" ref="B26:B51" si="4">B25+1</f>
        <v>3</v>
      </c>
      <c r="C26" s="201"/>
      <c r="D26" s="369"/>
      <c r="E26" s="182"/>
      <c r="F26" s="185"/>
      <c r="G26" s="173" t="str">
        <f>IF(COUNT($E26:$F26)&gt;0,$E26*$E$14*Planungsblatt!C$11+$F26*$F$14*Planungsblatt!C$17,"")</f>
        <v/>
      </c>
      <c r="H26" s="174" t="str">
        <f>IF(COUNT(E26:F26)&gt;0,IF(Planungsblatt!F$36="Gesamtverrechnung",G26,IF(G26&gt;=G$17,G26,0)),"")</f>
        <v/>
      </c>
      <c r="I26" s="187"/>
      <c r="J26" s="192"/>
      <c r="K26" s="193"/>
      <c r="L26" s="193"/>
      <c r="M26" s="194"/>
      <c r="N26" s="195" t="str">
        <f>IF(COUNT(J26:M26)&gt;0,IF(J26&gt;0,SUM(J26:M26)*Planungsblatt!C$31,0),"")</f>
        <v/>
      </c>
      <c r="O26" s="192"/>
      <c r="P26" s="193"/>
      <c r="Q26" s="193"/>
      <c r="R26" s="194"/>
      <c r="S26" s="62" t="str">
        <f>IF(COUNT(O26:R26)&gt;0,IF(O26&gt;0,(O26+P26+Q26+R26)*Planungsblatt!C$32,0),"")</f>
        <v/>
      </c>
      <c r="T26" s="171" t="str">
        <f t="shared" si="1"/>
        <v/>
      </c>
      <c r="U26" s="172" t="str">
        <f>IF(COUNT(I26:M26,O26:R26)&gt;0,IF(Planungsblatt!F$36="Gesamtverrechnung",T26,IF(T26&gt;=T$17,T26,0)),"")</f>
        <v/>
      </c>
      <c r="V26" s="18"/>
      <c r="W26" s="25">
        <f t="shared" si="2"/>
        <v>0</v>
      </c>
      <c r="X26" s="197" t="str">
        <f t="shared" si="3"/>
        <v/>
      </c>
      <c r="Y26" s="381" t="str">
        <f t="shared" si="0"/>
        <v/>
      </c>
      <c r="Z26" s="385"/>
      <c r="AA26" s="364">
        <f>Planungsblatt!F$2</f>
        <v>0</v>
      </c>
    </row>
    <row r="27" spans="2:30" x14ac:dyDescent="0.6">
      <c r="B27" s="64">
        <f t="shared" si="4"/>
        <v>4</v>
      </c>
      <c r="C27" s="199"/>
      <c r="D27" s="369"/>
      <c r="E27" s="182"/>
      <c r="F27" s="185"/>
      <c r="G27" s="173" t="str">
        <f>IF(COUNT($E27:$F27)&gt;0,$E27*$E$14*Planungsblatt!C$11+$F27*$F$14*Planungsblatt!C$17,"")</f>
        <v/>
      </c>
      <c r="H27" s="174" t="str">
        <f>IF(COUNT(E27:F27)&gt;0,IF(Planungsblatt!F$36="Gesamtverrechnung",G27,IF(G27&gt;=G$17,G27,0)),"")</f>
        <v/>
      </c>
      <c r="I27" s="187"/>
      <c r="J27" s="192"/>
      <c r="K27" s="193"/>
      <c r="L27" s="193"/>
      <c r="M27" s="194"/>
      <c r="N27" s="195" t="str">
        <f>IF(COUNT(J27:M27)&gt;0,IF(J27&gt;0,SUM(J27:M27)*Planungsblatt!C$31,0),"")</f>
        <v/>
      </c>
      <c r="O27" s="192"/>
      <c r="P27" s="193"/>
      <c r="Q27" s="193"/>
      <c r="R27" s="194"/>
      <c r="S27" s="62" t="str">
        <f>IF(COUNT(O27:R27)&gt;0,IF(O27&gt;0,(O27+P27+Q27+R27)*Planungsblatt!C$32,0),"")</f>
        <v/>
      </c>
      <c r="T27" s="171" t="str">
        <f t="shared" si="1"/>
        <v/>
      </c>
      <c r="U27" s="172" t="str">
        <f>IF(COUNT(I27:M27,O27:R27)&gt;0,IF(Planungsblatt!F$36="Gesamtverrechnung",T27,IF(T27&gt;=T$17,T27,0)),"")</f>
        <v/>
      </c>
      <c r="V27" s="18"/>
      <c r="W27" s="25">
        <f t="shared" si="2"/>
        <v>0</v>
      </c>
      <c r="X27" s="197" t="str">
        <f t="shared" si="3"/>
        <v/>
      </c>
      <c r="Y27" s="381" t="str">
        <f t="shared" si="0"/>
        <v/>
      </c>
      <c r="Z27" s="385"/>
      <c r="AA27" s="364">
        <f>Planungsblatt!F$2</f>
        <v>0</v>
      </c>
    </row>
    <row r="28" spans="2:30" x14ac:dyDescent="0.6">
      <c r="B28" s="64">
        <f t="shared" si="4"/>
        <v>5</v>
      </c>
      <c r="C28" s="201"/>
      <c r="D28" s="369"/>
      <c r="E28" s="182"/>
      <c r="F28" s="185"/>
      <c r="G28" s="173" t="str">
        <f>IF(COUNT($E28:$F28)&gt;0,$E28*$E$14*Planungsblatt!C$11+$F28*$F$14*Planungsblatt!C$17,"")</f>
        <v/>
      </c>
      <c r="H28" s="174" t="str">
        <f>IF(COUNT(E28:F28)&gt;0,IF(Planungsblatt!F$36="Gesamtverrechnung",G28,IF(G28&gt;=G$17,G28,0)),"")</f>
        <v/>
      </c>
      <c r="I28" s="187"/>
      <c r="J28" s="192"/>
      <c r="K28" s="193"/>
      <c r="L28" s="193"/>
      <c r="M28" s="194"/>
      <c r="N28" s="195" t="str">
        <f>IF(COUNT(J28:M28)&gt;0,IF(J28&gt;0,SUM(J28:M28)*Planungsblatt!C$31,0),"")</f>
        <v/>
      </c>
      <c r="O28" s="192"/>
      <c r="P28" s="193"/>
      <c r="Q28" s="193"/>
      <c r="R28" s="194"/>
      <c r="S28" s="62" t="str">
        <f>IF(COUNT(O28:R28)&gt;0,IF(O28&gt;0,(O28+P28+Q28+R28)*Planungsblatt!C$32,0),"")</f>
        <v/>
      </c>
      <c r="T28" s="171" t="str">
        <f t="shared" si="1"/>
        <v/>
      </c>
      <c r="U28" s="172" t="str">
        <f>IF(COUNT(I28:M28,O28:R28)&gt;0,IF(Planungsblatt!F$36="Gesamtverrechnung",T28,IF(T28&gt;=T$17,T28,0)),"")</f>
        <v/>
      </c>
      <c r="V28" s="18"/>
      <c r="W28" s="25">
        <f t="shared" si="2"/>
        <v>0</v>
      </c>
      <c r="X28" s="198" t="str">
        <f t="shared" si="3"/>
        <v/>
      </c>
      <c r="Y28" s="381" t="str">
        <f t="shared" si="0"/>
        <v/>
      </c>
      <c r="Z28" s="385"/>
      <c r="AA28" s="364">
        <f>Planungsblatt!F$2</f>
        <v>0</v>
      </c>
    </row>
    <row r="29" spans="2:30" x14ac:dyDescent="0.6">
      <c r="B29" s="64">
        <f t="shared" si="4"/>
        <v>6</v>
      </c>
      <c r="C29" s="201"/>
      <c r="D29" s="369"/>
      <c r="E29" s="182"/>
      <c r="F29" s="185"/>
      <c r="G29" s="173" t="str">
        <f>IF(COUNT($E29:$F29)&gt;0,$E29*$E$14*Planungsblatt!C$11+$F29*$F$14*Planungsblatt!C$17,"")</f>
        <v/>
      </c>
      <c r="H29" s="174" t="str">
        <f>IF(COUNT(E29:F29)&gt;0,IF(Planungsblatt!F$36="Gesamtverrechnung",G29,IF(G29&gt;=G$17,G29,0)),"")</f>
        <v/>
      </c>
      <c r="I29" s="187"/>
      <c r="J29" s="192"/>
      <c r="K29" s="193"/>
      <c r="L29" s="193"/>
      <c r="M29" s="194"/>
      <c r="N29" s="195" t="str">
        <f>IF(COUNT(J29:M29)&gt;0,IF(J29&gt;0,SUM(J29:M29)*Planungsblatt!C$31,0),"")</f>
        <v/>
      </c>
      <c r="O29" s="192"/>
      <c r="P29" s="193"/>
      <c r="Q29" s="193"/>
      <c r="R29" s="194"/>
      <c r="S29" s="62" t="str">
        <f>IF(COUNT(O29:R29)&gt;0,IF(O29&gt;0,(O29+P29+Q29+R29)*Planungsblatt!C$32,0),"")</f>
        <v/>
      </c>
      <c r="T29" s="171" t="str">
        <f t="shared" si="1"/>
        <v/>
      </c>
      <c r="U29" s="172" t="str">
        <f>IF(COUNT(I29:M29,O29:R29)&gt;0,IF(Planungsblatt!F$36="Gesamtverrechnung",T29,IF(T29&gt;=T$17,T29,0)),"")</f>
        <v/>
      </c>
      <c r="V29" s="18"/>
      <c r="W29" s="25">
        <f t="shared" si="2"/>
        <v>0</v>
      </c>
      <c r="X29" s="197" t="str">
        <f t="shared" si="3"/>
        <v/>
      </c>
      <c r="Y29" s="381" t="str">
        <f t="shared" si="0"/>
        <v/>
      </c>
      <c r="Z29" s="385"/>
      <c r="AA29" s="364">
        <f>Planungsblatt!F$2</f>
        <v>0</v>
      </c>
    </row>
    <row r="30" spans="2:30" x14ac:dyDescent="0.6">
      <c r="B30" s="64">
        <f t="shared" si="4"/>
        <v>7</v>
      </c>
      <c r="C30" s="201"/>
      <c r="D30" s="369"/>
      <c r="E30" s="182"/>
      <c r="F30" s="185"/>
      <c r="G30" s="173" t="str">
        <f>IF(COUNT($E30:$F30)&gt;0,$E30*$E$14*Planungsblatt!C$11+$F30*$F$14*Planungsblatt!C$17,"")</f>
        <v/>
      </c>
      <c r="H30" s="174" t="str">
        <f>IF(COUNT(E30:F30)&gt;0,IF(Planungsblatt!F$36="Gesamtverrechnung",G30,IF(G30&gt;=G$17,G30,0)),"")</f>
        <v/>
      </c>
      <c r="I30" s="187"/>
      <c r="J30" s="192"/>
      <c r="K30" s="193"/>
      <c r="L30" s="193"/>
      <c r="M30" s="194"/>
      <c r="N30" s="195" t="str">
        <f>IF(COUNT(J30:M30)&gt;0,IF(J30&gt;0,SUM(J30:M30)*Planungsblatt!C$31,0),"")</f>
        <v/>
      </c>
      <c r="O30" s="192"/>
      <c r="P30" s="193"/>
      <c r="Q30" s="193"/>
      <c r="R30" s="194"/>
      <c r="S30" s="62" t="str">
        <f>IF(COUNT(O30:R30)&gt;0,IF(O30&gt;0,(O30+P30+Q30+R30)*Planungsblatt!C$32,0),"")</f>
        <v/>
      </c>
      <c r="T30" s="171" t="str">
        <f t="shared" si="1"/>
        <v/>
      </c>
      <c r="U30" s="172" t="str">
        <f>IF(COUNT(I30:M30,O30:R30)&gt;0,IF(Planungsblatt!F$36="Gesamtverrechnung",T30,IF(T30&gt;=T$17,T30,0)),"")</f>
        <v/>
      </c>
      <c r="V30" s="18"/>
      <c r="W30" s="25">
        <f t="shared" si="2"/>
        <v>0</v>
      </c>
      <c r="X30" s="197" t="str">
        <f t="shared" si="3"/>
        <v/>
      </c>
      <c r="Y30" s="381" t="str">
        <f t="shared" si="0"/>
        <v/>
      </c>
      <c r="Z30" s="385"/>
      <c r="AA30" s="364">
        <f>Planungsblatt!F$2</f>
        <v>0</v>
      </c>
    </row>
    <row r="31" spans="2:30" x14ac:dyDescent="0.6">
      <c r="B31" s="64">
        <f t="shared" si="4"/>
        <v>8</v>
      </c>
      <c r="C31" s="201"/>
      <c r="D31" s="369"/>
      <c r="E31" s="182"/>
      <c r="F31" s="185"/>
      <c r="G31" s="173" t="str">
        <f>IF(COUNT($E31:$F31)&gt;0,$E31*$E$14*Planungsblatt!C$11+$F31*$F$14*Planungsblatt!C$17,"")</f>
        <v/>
      </c>
      <c r="H31" s="174" t="str">
        <f>IF(COUNT(E31:F31)&gt;0,IF(Planungsblatt!F$36="Gesamtverrechnung",G31,IF(G31&gt;=G$17,G31,0)),"")</f>
        <v/>
      </c>
      <c r="I31" s="187"/>
      <c r="J31" s="192"/>
      <c r="K31" s="193"/>
      <c r="L31" s="193"/>
      <c r="M31" s="194"/>
      <c r="N31" s="195" t="str">
        <f>IF(COUNT(J31:M31)&gt;0,IF(J31&gt;0,SUM(J31:M31)*Planungsblatt!C$31,0),"")</f>
        <v/>
      </c>
      <c r="O31" s="192"/>
      <c r="P31" s="193"/>
      <c r="Q31" s="193"/>
      <c r="R31" s="194"/>
      <c r="S31" s="62" t="str">
        <f>IF(COUNT(O31:R31)&gt;0,IF(O31&gt;0,(O31+P31+Q31+R31)*Planungsblatt!C$32,0),"")</f>
        <v/>
      </c>
      <c r="T31" s="171" t="str">
        <f t="shared" si="1"/>
        <v/>
      </c>
      <c r="U31" s="172" t="str">
        <f>IF(COUNT(I31:M31,O31:R31)&gt;0,IF(Planungsblatt!F$36="Gesamtverrechnung",T31,IF(T31&gt;=T$17,T31,0)),"")</f>
        <v/>
      </c>
      <c r="V31" s="18"/>
      <c r="W31" s="25">
        <f t="shared" si="2"/>
        <v>0</v>
      </c>
      <c r="X31" s="197" t="str">
        <f t="shared" si="3"/>
        <v/>
      </c>
      <c r="Y31" s="381" t="str">
        <f t="shared" si="0"/>
        <v/>
      </c>
      <c r="Z31" s="385"/>
      <c r="AA31" s="364">
        <f>Planungsblatt!F$2</f>
        <v>0</v>
      </c>
    </row>
    <row r="32" spans="2:30" x14ac:dyDescent="0.6">
      <c r="B32" s="64">
        <f t="shared" si="4"/>
        <v>9</v>
      </c>
      <c r="C32" s="201"/>
      <c r="D32" s="369"/>
      <c r="E32" s="182"/>
      <c r="F32" s="185"/>
      <c r="G32" s="173" t="str">
        <f>IF(COUNT($E32:$F32)&gt;0,$E32*$E$14*Planungsblatt!C$11+$F32*$F$14*Planungsblatt!C$17,"")</f>
        <v/>
      </c>
      <c r="H32" s="174" t="str">
        <f>IF(COUNT(E32:F32)&gt;0,IF(Planungsblatt!F$36="Gesamtverrechnung",G32,IF(G32&gt;=G$17,G32,0)),"")</f>
        <v/>
      </c>
      <c r="I32" s="187"/>
      <c r="J32" s="192"/>
      <c r="K32" s="193"/>
      <c r="L32" s="193"/>
      <c r="M32" s="194"/>
      <c r="N32" s="195" t="str">
        <f>IF(COUNT(J32:M32)&gt;0,IF(J32&gt;0,SUM(J32:M32)*Planungsblatt!C$31,0),"")</f>
        <v/>
      </c>
      <c r="O32" s="192"/>
      <c r="P32" s="193"/>
      <c r="Q32" s="193"/>
      <c r="R32" s="194"/>
      <c r="S32" s="62" t="str">
        <f>IF(COUNT(O32:R32)&gt;0,IF(O32&gt;0,(O32+P32+Q32+R32)*Planungsblatt!C$32,0),"")</f>
        <v/>
      </c>
      <c r="T32" s="171" t="str">
        <f t="shared" si="1"/>
        <v/>
      </c>
      <c r="U32" s="172" t="str">
        <f>IF(COUNT(I32:M32,O32:R32)&gt;0,IF(Planungsblatt!F$36="Gesamtverrechnung",T32,IF(T32&gt;=T$17,T32,0)),"")</f>
        <v/>
      </c>
      <c r="V32" s="18"/>
      <c r="W32" s="25">
        <f t="shared" si="2"/>
        <v>0</v>
      </c>
      <c r="X32" s="197" t="str">
        <f t="shared" si="3"/>
        <v/>
      </c>
      <c r="Y32" s="381" t="str">
        <f t="shared" si="0"/>
        <v/>
      </c>
      <c r="Z32" s="385"/>
      <c r="AA32" s="364">
        <f>Planungsblatt!F$2</f>
        <v>0</v>
      </c>
    </row>
    <row r="33" spans="2:27" x14ac:dyDescent="0.6">
      <c r="B33" s="64">
        <f t="shared" si="4"/>
        <v>10</v>
      </c>
      <c r="C33" s="201"/>
      <c r="D33" s="369"/>
      <c r="E33" s="182"/>
      <c r="F33" s="185"/>
      <c r="G33" s="173" t="str">
        <f>IF(COUNT($E33:$F33)&gt;0,$E33*$E$14*Planungsblatt!C$11+$F33*$F$14*Planungsblatt!C$17,"")</f>
        <v/>
      </c>
      <c r="H33" s="174" t="str">
        <f>IF(COUNT(E33:F33)&gt;0,IF(Planungsblatt!F$36="Gesamtverrechnung",G33,IF(G33&gt;=G$17,G33,0)),"")</f>
        <v/>
      </c>
      <c r="I33" s="187"/>
      <c r="J33" s="192"/>
      <c r="K33" s="193"/>
      <c r="L33" s="193"/>
      <c r="M33" s="194"/>
      <c r="N33" s="195" t="str">
        <f>IF(COUNT(J33:M33)&gt;0,IF(J33&gt;0,SUM(J33:M33)*Planungsblatt!C$31,0),"")</f>
        <v/>
      </c>
      <c r="O33" s="192"/>
      <c r="P33" s="193"/>
      <c r="Q33" s="193"/>
      <c r="R33" s="194"/>
      <c r="S33" s="62" t="str">
        <f>IF(COUNT(O33:R33)&gt;0,IF(O33&gt;0,(O33+P33+Q33+R33)*Planungsblatt!C$32,0),"")</f>
        <v/>
      </c>
      <c r="T33" s="171" t="str">
        <f t="shared" si="1"/>
        <v/>
      </c>
      <c r="U33" s="172" t="str">
        <f>IF(COUNT(I33:M33,O33:R33)&gt;0,IF(Planungsblatt!F$36="Gesamtverrechnung",T33,IF(T33&gt;=T$17,T33,0)),"")</f>
        <v/>
      </c>
      <c r="V33" s="18"/>
      <c r="W33" s="25">
        <f t="shared" si="2"/>
        <v>0</v>
      </c>
      <c r="X33" s="197" t="str">
        <f t="shared" si="3"/>
        <v/>
      </c>
      <c r="Y33" s="381" t="str">
        <f t="shared" si="0"/>
        <v/>
      </c>
      <c r="Z33" s="385"/>
      <c r="AA33" s="364">
        <f>Planungsblatt!F$2</f>
        <v>0</v>
      </c>
    </row>
    <row r="34" spans="2:27" x14ac:dyDescent="0.6">
      <c r="B34" s="64">
        <f t="shared" si="4"/>
        <v>11</v>
      </c>
      <c r="C34" s="181"/>
      <c r="D34" s="369"/>
      <c r="E34" s="182"/>
      <c r="F34" s="185"/>
      <c r="G34" s="173" t="str">
        <f>IF(COUNT($E34:$F34)&gt;0,$E34*$E$14*Planungsblatt!C$11+$F34*$F$14*Planungsblatt!C$17,"")</f>
        <v/>
      </c>
      <c r="H34" s="174" t="str">
        <f>IF(COUNT(E34:F34)&gt;0,IF(Planungsblatt!F$36="Gesamtverrechnung",G34,IF(G34&gt;=G$17,G34,0)),"")</f>
        <v/>
      </c>
      <c r="I34" s="187"/>
      <c r="J34" s="192"/>
      <c r="K34" s="193"/>
      <c r="L34" s="193"/>
      <c r="M34" s="194"/>
      <c r="N34" s="195" t="str">
        <f>IF(COUNT(J34:M34)&gt;0,IF(J34&gt;0,SUM(J34:M34)*Planungsblatt!C$31,0),"")</f>
        <v/>
      </c>
      <c r="O34" s="192"/>
      <c r="P34" s="193"/>
      <c r="Q34" s="193"/>
      <c r="R34" s="194"/>
      <c r="S34" s="62" t="str">
        <f>IF(COUNT(O34:R34)&gt;0,IF(O34&gt;0,(O34+P34+Q34+R34)*Planungsblatt!C$32,0),"")</f>
        <v/>
      </c>
      <c r="T34" s="171" t="str">
        <f t="shared" si="1"/>
        <v/>
      </c>
      <c r="U34" s="172" t="str">
        <f>IF(COUNT(I34:M34,O34:R34)&gt;0,IF(Planungsblatt!F$36="Gesamtverrechnung",T34,IF(T34&gt;=T$17,T34,0)),"")</f>
        <v/>
      </c>
      <c r="V34" s="18"/>
      <c r="W34" s="25">
        <f t="shared" si="2"/>
        <v>0</v>
      </c>
      <c r="X34" s="197" t="str">
        <f t="shared" si="3"/>
        <v/>
      </c>
      <c r="Y34" s="381" t="str">
        <f t="shared" si="0"/>
        <v/>
      </c>
      <c r="Z34" s="385"/>
      <c r="AA34" s="364">
        <f>Planungsblatt!F$2</f>
        <v>0</v>
      </c>
    </row>
    <row r="35" spans="2:27" x14ac:dyDescent="0.6">
      <c r="B35" s="64">
        <f t="shared" si="4"/>
        <v>12</v>
      </c>
      <c r="C35" s="181"/>
      <c r="D35" s="369"/>
      <c r="E35" s="182"/>
      <c r="F35" s="185"/>
      <c r="G35" s="173" t="str">
        <f>IF(COUNT($E35:$F35)&gt;0,$E35*$E$14*Planungsblatt!C$11+$F35*$F$14*Planungsblatt!C$17,"")</f>
        <v/>
      </c>
      <c r="H35" s="174" t="str">
        <f>IF(COUNT(E35:F35)&gt;0,IF(Planungsblatt!F$36="Gesamtverrechnung",G35,IF(G35&gt;=G$17,G35,0)),"")</f>
        <v/>
      </c>
      <c r="I35" s="187"/>
      <c r="J35" s="192"/>
      <c r="K35" s="193"/>
      <c r="L35" s="193"/>
      <c r="M35" s="194"/>
      <c r="N35" s="195" t="str">
        <f>IF(COUNT(J35:M35)&gt;0,IF(J35&gt;0,SUM(J35:M35)*Planungsblatt!C$31,0),"")</f>
        <v/>
      </c>
      <c r="O35" s="192"/>
      <c r="P35" s="193"/>
      <c r="Q35" s="193"/>
      <c r="R35" s="194"/>
      <c r="S35" s="62" t="str">
        <f>IF(COUNT(O35:R35)&gt;0,IF(O35&gt;0,(O35+P35+Q35+R35)*Planungsblatt!C$32,0),"")</f>
        <v/>
      </c>
      <c r="T35" s="171" t="str">
        <f t="shared" si="1"/>
        <v/>
      </c>
      <c r="U35" s="172" t="str">
        <f>IF(COUNT(I35:M35,O35:R35)&gt;0,IF(Planungsblatt!F$36="Gesamtverrechnung",T35,IF(T35&gt;=T$17,T35,0)),"")</f>
        <v/>
      </c>
      <c r="V35" s="18"/>
      <c r="W35" s="25">
        <f t="shared" si="2"/>
        <v>0</v>
      </c>
      <c r="X35" s="197" t="str">
        <f t="shared" si="3"/>
        <v/>
      </c>
      <c r="Y35" s="381" t="str">
        <f t="shared" si="0"/>
        <v/>
      </c>
      <c r="Z35" s="385"/>
      <c r="AA35" s="364">
        <f>Planungsblatt!F$2</f>
        <v>0</v>
      </c>
    </row>
    <row r="36" spans="2:27" x14ac:dyDescent="0.6">
      <c r="B36" s="64">
        <f t="shared" si="4"/>
        <v>13</v>
      </c>
      <c r="C36" s="181"/>
      <c r="D36" s="369"/>
      <c r="E36" s="182"/>
      <c r="F36" s="185"/>
      <c r="G36" s="173" t="str">
        <f>IF(COUNT($E36:$F36)&gt;0,$E36*$E$14*Planungsblatt!C$11+$F36*$F$14*Planungsblatt!C$17,"")</f>
        <v/>
      </c>
      <c r="H36" s="174" t="str">
        <f>IF(COUNT(E36:F36)&gt;0,IF(Planungsblatt!F$36="Gesamtverrechnung",G36,IF(G36&gt;=G$17,G36,0)),"")</f>
        <v/>
      </c>
      <c r="I36" s="187"/>
      <c r="J36" s="192"/>
      <c r="K36" s="193"/>
      <c r="L36" s="193"/>
      <c r="M36" s="194"/>
      <c r="N36" s="195" t="str">
        <f>IF(COUNT(J36:M36)&gt;0,IF(J36&gt;0,SUM(J36:M36)*Planungsblatt!C$31,0),"")</f>
        <v/>
      </c>
      <c r="O36" s="192"/>
      <c r="P36" s="193"/>
      <c r="Q36" s="193"/>
      <c r="R36" s="194"/>
      <c r="S36" s="62" t="str">
        <f>IF(COUNT(O36:R36)&gt;0,IF(O36&gt;0,(O36+P36+Q36+R36)*Planungsblatt!C$32,0),"")</f>
        <v/>
      </c>
      <c r="T36" s="171" t="str">
        <f t="shared" si="1"/>
        <v/>
      </c>
      <c r="U36" s="172" t="str">
        <f>IF(COUNT(I36:M36,O36:R36)&gt;0,IF(Planungsblatt!F$36="Gesamtverrechnung",T36,IF(T36&gt;=T$17,T36,0)),"")</f>
        <v/>
      </c>
      <c r="V36" s="18"/>
      <c r="W36" s="25">
        <f t="shared" si="2"/>
        <v>0</v>
      </c>
      <c r="X36" s="197" t="str">
        <f t="shared" si="3"/>
        <v/>
      </c>
      <c r="Y36" s="381" t="str">
        <f t="shared" si="0"/>
        <v/>
      </c>
      <c r="Z36" s="385"/>
      <c r="AA36" s="364">
        <f>Planungsblatt!F$2</f>
        <v>0</v>
      </c>
    </row>
    <row r="37" spans="2:27" x14ac:dyDescent="0.6">
      <c r="B37" s="64">
        <f t="shared" si="4"/>
        <v>14</v>
      </c>
      <c r="C37" s="181"/>
      <c r="D37" s="369"/>
      <c r="E37" s="182"/>
      <c r="F37" s="185"/>
      <c r="G37" s="173" t="str">
        <f>IF(COUNT($E37:$F37)&gt;0,$E37*$E$14*Planungsblatt!C$11+$F37*$F$14*Planungsblatt!C$17,"")</f>
        <v/>
      </c>
      <c r="H37" s="174" t="str">
        <f>IF(COUNT(E37:F37)&gt;0,IF(Planungsblatt!F$36="Gesamtverrechnung",G37,IF(G37&gt;=G$17,G37,0)),"")</f>
        <v/>
      </c>
      <c r="I37" s="187"/>
      <c r="J37" s="192"/>
      <c r="K37" s="193"/>
      <c r="L37" s="193"/>
      <c r="M37" s="194"/>
      <c r="N37" s="195" t="str">
        <f>IF(COUNT(J37:M37)&gt;0,IF(J37&gt;0,SUM(J37:M37)*Planungsblatt!C$31,0),"")</f>
        <v/>
      </c>
      <c r="O37" s="192"/>
      <c r="P37" s="193"/>
      <c r="Q37" s="193"/>
      <c r="R37" s="194"/>
      <c r="S37" s="62" t="str">
        <f>IF(COUNT(O37:R37)&gt;0,IF(O37&gt;0,(O37+P37+Q37+R37)*Planungsblatt!C$32,0),"")</f>
        <v/>
      </c>
      <c r="T37" s="171" t="str">
        <f t="shared" si="1"/>
        <v/>
      </c>
      <c r="U37" s="172" t="str">
        <f>IF(COUNT(I37:M37,O37:R37)&gt;0,IF(Planungsblatt!F$36="Gesamtverrechnung",T37,IF(T37&gt;=T$17,T37,0)),"")</f>
        <v/>
      </c>
      <c r="V37" s="18"/>
      <c r="W37" s="25">
        <f t="shared" si="2"/>
        <v>0</v>
      </c>
      <c r="X37" s="197" t="str">
        <f t="shared" si="3"/>
        <v/>
      </c>
      <c r="Y37" s="381" t="str">
        <f t="shared" si="0"/>
        <v/>
      </c>
      <c r="Z37" s="385"/>
      <c r="AA37" s="364">
        <f>Planungsblatt!F$2</f>
        <v>0</v>
      </c>
    </row>
    <row r="38" spans="2:27" x14ac:dyDescent="0.6">
      <c r="B38" s="64">
        <f t="shared" si="4"/>
        <v>15</v>
      </c>
      <c r="C38" s="181"/>
      <c r="D38" s="369"/>
      <c r="E38" s="182"/>
      <c r="F38" s="185"/>
      <c r="G38" s="173" t="str">
        <f>IF(COUNT($E38:$F38)&gt;0,$E38*$E$14*Planungsblatt!C$11+$F38*$F$14*Planungsblatt!C$17,"")</f>
        <v/>
      </c>
      <c r="H38" s="174" t="str">
        <f>IF(COUNT(E38:F38)&gt;0,IF(Planungsblatt!F$36="Gesamtverrechnung",G38,IF(G38&gt;=G$17,G38,0)),"")</f>
        <v/>
      </c>
      <c r="I38" s="187"/>
      <c r="J38" s="192"/>
      <c r="K38" s="193"/>
      <c r="L38" s="193"/>
      <c r="M38" s="194"/>
      <c r="N38" s="195" t="str">
        <f>IF(COUNT(J38:M38)&gt;0,IF(J38&gt;0,SUM(J38:M38)*Planungsblatt!C$31,0),"")</f>
        <v/>
      </c>
      <c r="O38" s="192"/>
      <c r="P38" s="193"/>
      <c r="Q38" s="193"/>
      <c r="R38" s="194"/>
      <c r="S38" s="62" t="str">
        <f>IF(COUNT(O38:R38)&gt;0,IF(O38&gt;0,(O38+P38+Q38+R38)*Planungsblatt!C$32,0),"")</f>
        <v/>
      </c>
      <c r="T38" s="171" t="str">
        <f t="shared" si="1"/>
        <v/>
      </c>
      <c r="U38" s="172" t="str">
        <f>IF(COUNT(I38:M38,O38:R38)&gt;0,IF(Planungsblatt!F$36="Gesamtverrechnung",T38,IF(T38&gt;=T$17,T38,0)),"")</f>
        <v/>
      </c>
      <c r="V38" s="18"/>
      <c r="W38" s="25">
        <f t="shared" si="2"/>
        <v>0</v>
      </c>
      <c r="X38" s="197" t="str">
        <f t="shared" si="3"/>
        <v/>
      </c>
      <c r="Y38" s="381" t="str">
        <f t="shared" si="0"/>
        <v/>
      </c>
      <c r="Z38" s="385"/>
      <c r="AA38" s="364">
        <f>Planungsblatt!F$2</f>
        <v>0</v>
      </c>
    </row>
    <row r="39" spans="2:27" x14ac:dyDescent="0.6">
      <c r="B39" s="64">
        <f t="shared" si="4"/>
        <v>16</v>
      </c>
      <c r="C39" s="181"/>
      <c r="D39" s="369"/>
      <c r="E39" s="182"/>
      <c r="F39" s="185"/>
      <c r="G39" s="173" t="str">
        <f>IF(COUNT($E39:$F39)&gt;0,$E39*$E$14*Planungsblatt!C$11+$F39*$F$14*Planungsblatt!C$17,"")</f>
        <v/>
      </c>
      <c r="H39" s="174" t="str">
        <f>IF(COUNT(E39:F39)&gt;0,IF(Planungsblatt!F$36="Gesamtverrechnung",G39,IF(G39&gt;=G$17,G39,0)),"")</f>
        <v/>
      </c>
      <c r="I39" s="187"/>
      <c r="J39" s="192"/>
      <c r="K39" s="193"/>
      <c r="L39" s="193"/>
      <c r="M39" s="194"/>
      <c r="N39" s="195" t="str">
        <f>IF(COUNT(J39:M39)&gt;0,IF(J39&gt;0,SUM(J39:M39)*Planungsblatt!C$31,0),"")</f>
        <v/>
      </c>
      <c r="O39" s="192"/>
      <c r="P39" s="193"/>
      <c r="Q39" s="193"/>
      <c r="R39" s="194"/>
      <c r="S39" s="62" t="str">
        <f>IF(COUNT(O39:R39)&gt;0,IF(O39&gt;0,(O39+P39+Q39+R39)*Planungsblatt!C$32,0),"")</f>
        <v/>
      </c>
      <c r="T39" s="171" t="str">
        <f t="shared" si="1"/>
        <v/>
      </c>
      <c r="U39" s="172" t="str">
        <f>IF(COUNT(I39:M39,O39:R39)&gt;0,IF(Planungsblatt!F$36="Gesamtverrechnung",T39,IF(T39&gt;=T$17,T39,0)),"")</f>
        <v/>
      </c>
      <c r="V39" s="18"/>
      <c r="W39" s="25">
        <f t="shared" si="2"/>
        <v>0</v>
      </c>
      <c r="X39" s="197" t="str">
        <f t="shared" si="3"/>
        <v/>
      </c>
      <c r="Y39" s="381" t="str">
        <f t="shared" si="0"/>
        <v/>
      </c>
      <c r="Z39" s="385"/>
      <c r="AA39" s="364">
        <f>Planungsblatt!F$2</f>
        <v>0</v>
      </c>
    </row>
    <row r="40" spans="2:27" x14ac:dyDescent="0.6">
      <c r="B40" s="64">
        <f t="shared" si="4"/>
        <v>17</v>
      </c>
      <c r="C40" s="181"/>
      <c r="D40" s="369"/>
      <c r="E40" s="182"/>
      <c r="F40" s="185"/>
      <c r="G40" s="173" t="str">
        <f>IF(COUNT($E40:$F40)&gt;0,$E40*$E$14*Planungsblatt!C$11+$F40*$F$14*Planungsblatt!C$17,"")</f>
        <v/>
      </c>
      <c r="H40" s="174" t="str">
        <f>IF(COUNT(E40:F40)&gt;0,IF(Planungsblatt!F$36="Gesamtverrechnung",G40,IF(G40&gt;=G$17,G40,0)),"")</f>
        <v/>
      </c>
      <c r="I40" s="187"/>
      <c r="J40" s="192"/>
      <c r="K40" s="193"/>
      <c r="L40" s="193"/>
      <c r="M40" s="194"/>
      <c r="N40" s="195" t="str">
        <f>IF(COUNT(J40:M40)&gt;0,IF(J40&gt;0,SUM(J40:M40)*Planungsblatt!C$31,0),"")</f>
        <v/>
      </c>
      <c r="O40" s="192"/>
      <c r="P40" s="193"/>
      <c r="Q40" s="193"/>
      <c r="R40" s="194"/>
      <c r="S40" s="62" t="str">
        <f>IF(COUNT(O40:R40)&gt;0,IF(O40&gt;0,(O40+P40+Q40+R40)*Planungsblatt!C$32,0),"")</f>
        <v/>
      </c>
      <c r="T40" s="171" t="str">
        <f t="shared" si="1"/>
        <v/>
      </c>
      <c r="U40" s="172" t="str">
        <f>IF(COUNT(I40:M40,O40:R40)&gt;0,IF(Planungsblatt!F$36="Gesamtverrechnung",T40,IF(T40&gt;=T$17,T40,0)),"")</f>
        <v/>
      </c>
      <c r="V40" s="18"/>
      <c r="W40" s="25">
        <f t="shared" si="2"/>
        <v>0</v>
      </c>
      <c r="X40" s="197" t="str">
        <f t="shared" si="3"/>
        <v/>
      </c>
      <c r="Y40" s="381" t="str">
        <f t="shared" si="0"/>
        <v/>
      </c>
      <c r="Z40" s="385"/>
      <c r="AA40" s="364">
        <f>Planungsblatt!F$2</f>
        <v>0</v>
      </c>
    </row>
    <row r="41" spans="2:27" x14ac:dyDescent="0.6">
      <c r="B41" s="64">
        <f t="shared" si="4"/>
        <v>18</v>
      </c>
      <c r="C41" s="181"/>
      <c r="D41" s="369"/>
      <c r="E41" s="182"/>
      <c r="F41" s="185"/>
      <c r="G41" s="173" t="str">
        <f>IF(COUNT($E41:$F41)&gt;0,$E41*$E$14*Planungsblatt!C$11+$F41*$F$14*Planungsblatt!C$17,"")</f>
        <v/>
      </c>
      <c r="H41" s="174" t="str">
        <f>IF(COUNT(E41:F41)&gt;0,IF(Planungsblatt!F$36="Gesamtverrechnung",G41,IF(G41&gt;=G$17,G41,0)),"")</f>
        <v/>
      </c>
      <c r="I41" s="187"/>
      <c r="J41" s="192"/>
      <c r="K41" s="193"/>
      <c r="L41" s="193"/>
      <c r="M41" s="194"/>
      <c r="N41" s="195" t="str">
        <f>IF(COUNT(J41:M41)&gt;0,IF(J41&gt;0,SUM(J41:M41)*Planungsblatt!C$31,0),"")</f>
        <v/>
      </c>
      <c r="O41" s="192"/>
      <c r="P41" s="193"/>
      <c r="Q41" s="193"/>
      <c r="R41" s="194"/>
      <c r="S41" s="62" t="str">
        <f>IF(COUNT(O41:R41)&gt;0,IF(O41&gt;0,(O41+P41+Q41+R41)*Planungsblatt!C$32,0),"")</f>
        <v/>
      </c>
      <c r="T41" s="171" t="str">
        <f t="shared" si="1"/>
        <v/>
      </c>
      <c r="U41" s="172" t="str">
        <f>IF(COUNT(I41:M41,O41:R41)&gt;0,IF(Planungsblatt!F$36="Gesamtverrechnung",T41,IF(T41&gt;=T$17,T41,0)),"")</f>
        <v/>
      </c>
      <c r="V41" s="18"/>
      <c r="W41" s="25">
        <f t="shared" si="2"/>
        <v>0</v>
      </c>
      <c r="X41" s="197" t="str">
        <f t="shared" si="3"/>
        <v/>
      </c>
      <c r="Y41" s="381" t="str">
        <f t="shared" si="0"/>
        <v/>
      </c>
      <c r="Z41" s="385"/>
      <c r="AA41" s="364">
        <f>Planungsblatt!F$2</f>
        <v>0</v>
      </c>
    </row>
    <row r="42" spans="2:27" x14ac:dyDescent="0.6">
      <c r="B42" s="64">
        <f t="shared" si="4"/>
        <v>19</v>
      </c>
      <c r="C42" s="181"/>
      <c r="D42" s="369"/>
      <c r="E42" s="182"/>
      <c r="F42" s="185"/>
      <c r="G42" s="173" t="str">
        <f>IF(COUNT($E42:$F42)&gt;0,$E42*$E$14*Planungsblatt!C$11+$F42*$F$14*Planungsblatt!C$17,"")</f>
        <v/>
      </c>
      <c r="H42" s="174" t="str">
        <f>IF(COUNT(E42:F42)&gt;0,IF(Planungsblatt!F$36="Gesamtverrechnung",G42,IF(G42&gt;=G$17,G42,0)),"")</f>
        <v/>
      </c>
      <c r="I42" s="187"/>
      <c r="J42" s="192"/>
      <c r="K42" s="193"/>
      <c r="L42" s="193"/>
      <c r="M42" s="194"/>
      <c r="N42" s="195" t="str">
        <f>IF(COUNT(J42:M42)&gt;0,IF(J42&gt;0,SUM(J42:M42)*Planungsblatt!C$31,0),"")</f>
        <v/>
      </c>
      <c r="O42" s="192"/>
      <c r="P42" s="193"/>
      <c r="Q42" s="193"/>
      <c r="R42" s="194"/>
      <c r="S42" s="62" t="str">
        <f>IF(COUNT(O42:R42)&gt;0,IF(O42&gt;0,(O42+P42+Q42+R42)*Planungsblatt!C$32,0),"")</f>
        <v/>
      </c>
      <c r="T42" s="171" t="str">
        <f t="shared" si="1"/>
        <v/>
      </c>
      <c r="U42" s="172" t="str">
        <f>IF(COUNT(I42:M42,O42:R42)&gt;0,IF(Planungsblatt!F$36="Gesamtverrechnung",T42,IF(T42&gt;=T$17,T42,0)),"")</f>
        <v/>
      </c>
      <c r="V42" s="18"/>
      <c r="W42" s="25">
        <f t="shared" si="2"/>
        <v>0</v>
      </c>
      <c r="X42" s="197" t="str">
        <f t="shared" si="3"/>
        <v/>
      </c>
      <c r="Y42" s="381" t="str">
        <f t="shared" si="0"/>
        <v/>
      </c>
      <c r="Z42" s="385"/>
      <c r="AA42" s="364">
        <f>Planungsblatt!F$2</f>
        <v>0</v>
      </c>
    </row>
    <row r="43" spans="2:27" x14ac:dyDescent="0.6">
      <c r="B43" s="64">
        <f t="shared" si="4"/>
        <v>20</v>
      </c>
      <c r="C43" s="181"/>
      <c r="D43" s="369"/>
      <c r="E43" s="182"/>
      <c r="F43" s="185"/>
      <c r="G43" s="173" t="str">
        <f>IF(COUNT($E43:$F43)&gt;0,$E43*$E$14*Planungsblatt!C$11+$F43*$F$14*Planungsblatt!C$17,"")</f>
        <v/>
      </c>
      <c r="H43" s="174" t="str">
        <f>IF(COUNT(E43:F43)&gt;0,IF(Planungsblatt!F$36="Gesamtverrechnung",G43,IF(G43&gt;=G$17,G43,0)),"")</f>
        <v/>
      </c>
      <c r="I43" s="187"/>
      <c r="J43" s="192"/>
      <c r="K43" s="193"/>
      <c r="L43" s="193"/>
      <c r="M43" s="194"/>
      <c r="N43" s="195" t="str">
        <f>IF(COUNT(J43:M43)&gt;0,IF(J43&gt;0,SUM(J43:M43)*Planungsblatt!C$31,0),"")</f>
        <v/>
      </c>
      <c r="O43" s="192"/>
      <c r="P43" s="193"/>
      <c r="Q43" s="193"/>
      <c r="R43" s="194"/>
      <c r="S43" s="62" t="str">
        <f>IF(COUNT(O43:R43)&gt;0,IF(O43&gt;0,(O43+P43+Q43+R43)*Planungsblatt!C$32,0),"")</f>
        <v/>
      </c>
      <c r="T43" s="171" t="str">
        <f t="shared" si="1"/>
        <v/>
      </c>
      <c r="U43" s="172" t="str">
        <f>IF(COUNT(I43:M43,O43:R43)&gt;0,IF(Planungsblatt!F$36="Gesamtverrechnung",T43,IF(T43&gt;=T$17,T43,0)),"")</f>
        <v/>
      </c>
      <c r="V43" s="18"/>
      <c r="W43" s="25">
        <f t="shared" si="2"/>
        <v>0</v>
      </c>
      <c r="X43" s="197" t="str">
        <f t="shared" si="3"/>
        <v/>
      </c>
      <c r="Y43" s="381" t="str">
        <f t="shared" si="0"/>
        <v/>
      </c>
      <c r="Z43" s="385"/>
      <c r="AA43" s="364">
        <f>Planungsblatt!F$2</f>
        <v>0</v>
      </c>
    </row>
    <row r="44" spans="2:27" x14ac:dyDescent="0.6">
      <c r="B44" s="64">
        <f t="shared" si="4"/>
        <v>21</v>
      </c>
      <c r="C44" s="181"/>
      <c r="D44" s="369"/>
      <c r="E44" s="182"/>
      <c r="F44" s="185"/>
      <c r="G44" s="173" t="str">
        <f>IF(COUNT($E44:$F44)&gt;0,$E44*$E$14*Planungsblatt!C$11+$F44*$F$14*Planungsblatt!C$17,"")</f>
        <v/>
      </c>
      <c r="H44" s="174" t="str">
        <f>IF(COUNT(E44:F44)&gt;0,IF(Planungsblatt!F$36="Gesamtverrechnung",G44,IF(G44&gt;=G$17,G44,0)),"")</f>
        <v/>
      </c>
      <c r="I44" s="187"/>
      <c r="J44" s="192"/>
      <c r="K44" s="193"/>
      <c r="L44" s="193"/>
      <c r="M44" s="194"/>
      <c r="N44" s="195" t="str">
        <f>IF(COUNT(J44:M44)&gt;0,IF(J44&gt;0,SUM(J44:M44)*Planungsblatt!C$31,0),"")</f>
        <v/>
      </c>
      <c r="O44" s="192"/>
      <c r="P44" s="193"/>
      <c r="Q44" s="193"/>
      <c r="R44" s="194"/>
      <c r="S44" s="62" t="str">
        <f>IF(COUNT(O44:R44)&gt;0,IF(O44&gt;0,(O44+P44+Q44+R44)*Planungsblatt!C$32,0),"")</f>
        <v/>
      </c>
      <c r="T44" s="171" t="str">
        <f t="shared" si="1"/>
        <v/>
      </c>
      <c r="U44" s="172" t="str">
        <f>IF(COUNT(I44:M44,O44:R44)&gt;0,IF(Planungsblatt!F$36="Gesamtverrechnung",T44,IF(T44&gt;=T$17,T44,0)),"")</f>
        <v/>
      </c>
      <c r="V44" s="18"/>
      <c r="W44" s="25">
        <f t="shared" si="2"/>
        <v>0</v>
      </c>
      <c r="X44" s="197" t="str">
        <f t="shared" si="3"/>
        <v/>
      </c>
      <c r="Y44" s="381" t="str">
        <f t="shared" si="0"/>
        <v/>
      </c>
      <c r="Z44" s="385"/>
      <c r="AA44" s="364">
        <f>Planungsblatt!F$2</f>
        <v>0</v>
      </c>
    </row>
    <row r="45" spans="2:27" x14ac:dyDescent="0.6">
      <c r="B45" s="64">
        <f t="shared" si="4"/>
        <v>22</v>
      </c>
      <c r="C45" s="181"/>
      <c r="D45" s="369"/>
      <c r="E45" s="182"/>
      <c r="F45" s="185"/>
      <c r="G45" s="173" t="str">
        <f>IF(COUNT($E45:$F45)&gt;0,$E45*$E$14*Planungsblatt!C$11+$F45*$F$14*Planungsblatt!C$17,"")</f>
        <v/>
      </c>
      <c r="H45" s="174" t="str">
        <f>IF(COUNT(E45:F45)&gt;0,IF(Planungsblatt!F$36="Gesamtverrechnung",G45,IF(G45&gt;=G$17,G45,0)),"")</f>
        <v/>
      </c>
      <c r="I45" s="187"/>
      <c r="J45" s="192"/>
      <c r="K45" s="193"/>
      <c r="L45" s="193"/>
      <c r="M45" s="194"/>
      <c r="N45" s="195" t="str">
        <f>IF(COUNT(J45:M45)&gt;0,IF(J45&gt;0,SUM(J45:M45)*Planungsblatt!C$31,0),"")</f>
        <v/>
      </c>
      <c r="O45" s="192"/>
      <c r="P45" s="193"/>
      <c r="Q45" s="193"/>
      <c r="R45" s="194"/>
      <c r="S45" s="62" t="str">
        <f>IF(COUNT(O45:R45)&gt;0,IF(O45&gt;0,(O45+P45+Q45+R45)*Planungsblatt!C$32,0),"")</f>
        <v/>
      </c>
      <c r="T45" s="171" t="str">
        <f t="shared" si="1"/>
        <v/>
      </c>
      <c r="U45" s="172" t="str">
        <f>IF(COUNT(I45:M45,O45:R45)&gt;0,IF(Planungsblatt!F$36="Gesamtverrechnung",T45,IF(T45&gt;=T$17,T45,0)),"")</f>
        <v/>
      </c>
      <c r="V45" s="18"/>
      <c r="W45" s="25">
        <f t="shared" si="2"/>
        <v>0</v>
      </c>
      <c r="X45" s="197" t="str">
        <f t="shared" si="3"/>
        <v/>
      </c>
      <c r="Y45" s="381" t="str">
        <f t="shared" si="0"/>
        <v/>
      </c>
      <c r="Z45" s="385"/>
      <c r="AA45" s="364">
        <f>Planungsblatt!F$2</f>
        <v>0</v>
      </c>
    </row>
    <row r="46" spans="2:27" x14ac:dyDescent="0.6">
      <c r="B46" s="64">
        <f t="shared" si="4"/>
        <v>23</v>
      </c>
      <c r="C46" s="181"/>
      <c r="D46" s="369"/>
      <c r="E46" s="182"/>
      <c r="F46" s="185"/>
      <c r="G46" s="173" t="str">
        <f>IF(COUNT($E46:$F46)&gt;0,$E46*$E$14*Planungsblatt!C$11+$F46*$F$14*Planungsblatt!C$17,"")</f>
        <v/>
      </c>
      <c r="H46" s="174" t="str">
        <f>IF(COUNT(E46:F46)&gt;0,IF(Planungsblatt!F$36="Gesamtverrechnung",G46,IF(G46&gt;=G$17,G46,0)),"")</f>
        <v/>
      </c>
      <c r="I46" s="187"/>
      <c r="J46" s="192"/>
      <c r="K46" s="193"/>
      <c r="L46" s="193"/>
      <c r="M46" s="194"/>
      <c r="N46" s="195" t="str">
        <f>IF(COUNT(J46:M46)&gt;0,IF(J46&gt;0,SUM(J46:M46)*Planungsblatt!C$31,0),"")</f>
        <v/>
      </c>
      <c r="O46" s="192"/>
      <c r="P46" s="193"/>
      <c r="Q46" s="193"/>
      <c r="R46" s="194"/>
      <c r="S46" s="62" t="str">
        <f>IF(COUNT(O46:R46)&gt;0,IF(O46&gt;0,(O46+P46+Q46+R46)*Planungsblatt!C$32,0),"")</f>
        <v/>
      </c>
      <c r="T46" s="171" t="str">
        <f t="shared" si="1"/>
        <v/>
      </c>
      <c r="U46" s="172" t="str">
        <f>IF(COUNT(I46:M46,O46:R46)&gt;0,IF(Planungsblatt!F$36="Gesamtverrechnung",T46,IF(T46&gt;=T$17,T46,0)),"")</f>
        <v/>
      </c>
      <c r="V46" s="18"/>
      <c r="W46" s="25">
        <f t="shared" si="2"/>
        <v>0</v>
      </c>
      <c r="X46" s="197" t="str">
        <f t="shared" si="3"/>
        <v/>
      </c>
      <c r="Y46" s="381" t="str">
        <f t="shared" si="0"/>
        <v/>
      </c>
      <c r="Z46" s="385"/>
      <c r="AA46" s="364">
        <f>Planungsblatt!F$2</f>
        <v>0</v>
      </c>
    </row>
    <row r="47" spans="2:27" x14ac:dyDescent="0.6">
      <c r="B47" s="64">
        <f t="shared" si="4"/>
        <v>24</v>
      </c>
      <c r="C47" s="181"/>
      <c r="D47" s="369"/>
      <c r="E47" s="182"/>
      <c r="F47" s="185"/>
      <c r="G47" s="173" t="str">
        <f>IF(COUNT($E47:$F47)&gt;0,$E47*$E$14*Planungsblatt!C$11+$F47*$F$14*Planungsblatt!C$17,"")</f>
        <v/>
      </c>
      <c r="H47" s="174" t="str">
        <f>IF(COUNT(E47:F47)&gt;0,IF(Planungsblatt!F$36="Gesamtverrechnung",G47,IF(G47&gt;=G$17,G47,0)),"")</f>
        <v/>
      </c>
      <c r="I47" s="187"/>
      <c r="J47" s="192"/>
      <c r="K47" s="193"/>
      <c r="L47" s="193"/>
      <c r="M47" s="194"/>
      <c r="N47" s="195" t="str">
        <f>IF(COUNT(J47:M47)&gt;0,IF(J47&gt;0,SUM(J47:M47)*Planungsblatt!C$31,0),"")</f>
        <v/>
      </c>
      <c r="O47" s="192"/>
      <c r="P47" s="193"/>
      <c r="Q47" s="193"/>
      <c r="R47" s="194"/>
      <c r="S47" s="62" t="str">
        <f>IF(COUNT(O47:R47)&gt;0,IF(O47&gt;0,(O47+P47+Q47+R47)*Planungsblatt!C$32,0),"")</f>
        <v/>
      </c>
      <c r="T47" s="171" t="str">
        <f t="shared" si="1"/>
        <v/>
      </c>
      <c r="U47" s="172" t="str">
        <f>IF(COUNT(I47:M47,O47:R47)&gt;0,IF(Planungsblatt!F$36="Gesamtverrechnung",T47,IF(T47&gt;=T$17,T47,0)),"")</f>
        <v/>
      </c>
      <c r="V47" s="18"/>
      <c r="W47" s="25">
        <f t="shared" si="2"/>
        <v>0</v>
      </c>
      <c r="X47" s="197" t="str">
        <f t="shared" si="3"/>
        <v/>
      </c>
      <c r="Y47" s="381" t="str">
        <f t="shared" si="0"/>
        <v/>
      </c>
      <c r="Z47" s="385"/>
      <c r="AA47" s="364">
        <f>Planungsblatt!F$2</f>
        <v>0</v>
      </c>
    </row>
    <row r="48" spans="2:27" x14ac:dyDescent="0.6">
      <c r="B48" s="64">
        <f t="shared" si="4"/>
        <v>25</v>
      </c>
      <c r="C48" s="181"/>
      <c r="D48" s="369"/>
      <c r="E48" s="182"/>
      <c r="F48" s="185"/>
      <c r="G48" s="173" t="str">
        <f>IF(COUNT($E48:$F48)&gt;0,$E48*$E$14*Planungsblatt!C$11+$F48*$F$14*Planungsblatt!C$17,"")</f>
        <v/>
      </c>
      <c r="H48" s="174" t="str">
        <f>IF(COUNT(E48:F48)&gt;0,IF(Planungsblatt!F$36="Gesamtverrechnung",G48,IF(G48&gt;=G$17,G48,0)),"")</f>
        <v/>
      </c>
      <c r="I48" s="187"/>
      <c r="J48" s="192"/>
      <c r="K48" s="193"/>
      <c r="L48" s="193"/>
      <c r="M48" s="194"/>
      <c r="N48" s="195" t="str">
        <f>IF(COUNT(J48:M48)&gt;0,IF(J48&gt;0,SUM(J48:M48)*Planungsblatt!C$31,0),"")</f>
        <v/>
      </c>
      <c r="O48" s="192"/>
      <c r="P48" s="193"/>
      <c r="Q48" s="193"/>
      <c r="R48" s="194"/>
      <c r="S48" s="62" t="str">
        <f>IF(COUNT(O48:R48)&gt;0,IF(O48&gt;0,(O48+P48+Q48+R48)*Planungsblatt!C$32,0),"")</f>
        <v/>
      </c>
      <c r="T48" s="171" t="str">
        <f t="shared" si="1"/>
        <v/>
      </c>
      <c r="U48" s="172" t="str">
        <f>IF(COUNT(I48:M48,O48:R48)&gt;0,IF(Planungsblatt!F$36="Gesamtverrechnung",T48,IF(T48&gt;=T$17,T48,0)),"")</f>
        <v/>
      </c>
      <c r="V48" s="18"/>
      <c r="W48" s="25">
        <f t="shared" si="2"/>
        <v>0</v>
      </c>
      <c r="X48" s="197" t="str">
        <f t="shared" si="3"/>
        <v/>
      </c>
      <c r="Y48" s="381" t="str">
        <f t="shared" si="0"/>
        <v/>
      </c>
      <c r="Z48" s="385"/>
      <c r="AA48" s="364">
        <f>Planungsblatt!F$2</f>
        <v>0</v>
      </c>
    </row>
    <row r="49" spans="2:27" x14ac:dyDescent="0.6">
      <c r="B49" s="64">
        <f t="shared" si="4"/>
        <v>26</v>
      </c>
      <c r="C49" s="181"/>
      <c r="D49" s="369"/>
      <c r="E49" s="182"/>
      <c r="F49" s="185"/>
      <c r="G49" s="173" t="str">
        <f>IF(COUNT($E49:$F49)&gt;0,$E49*$E$14*Planungsblatt!C$11+$F49*$F$14*Planungsblatt!C$17,"")</f>
        <v/>
      </c>
      <c r="H49" s="174" t="str">
        <f>IF(COUNT(E49:F49)&gt;0,IF(Planungsblatt!F$36="Gesamtverrechnung",G49,IF(G49&gt;=G$17,G49,0)),"")</f>
        <v/>
      </c>
      <c r="I49" s="187"/>
      <c r="J49" s="192"/>
      <c r="K49" s="193"/>
      <c r="L49" s="193"/>
      <c r="M49" s="194"/>
      <c r="N49" s="195" t="str">
        <f>IF(COUNT(J49:M49)&gt;0,IF(J49&gt;0,SUM(J49:M49)*Planungsblatt!C$31,0),"")</f>
        <v/>
      </c>
      <c r="O49" s="192"/>
      <c r="P49" s="193"/>
      <c r="Q49" s="193"/>
      <c r="R49" s="194"/>
      <c r="S49" s="62" t="str">
        <f>IF(COUNT(O49:R49)&gt;0,IF(O49&gt;0,(O49+P49+Q49+R49)*Planungsblatt!C$32,0),"")</f>
        <v/>
      </c>
      <c r="T49" s="171" t="str">
        <f t="shared" si="1"/>
        <v/>
      </c>
      <c r="U49" s="172" t="str">
        <f>IF(COUNT(I49:M49,O49:R49)&gt;0,IF(Planungsblatt!F$36="Gesamtverrechnung",T49,IF(T49&gt;=T$17,T49,0)),"")</f>
        <v/>
      </c>
      <c r="V49" s="18"/>
      <c r="W49" s="25">
        <f t="shared" si="2"/>
        <v>0</v>
      </c>
      <c r="X49" s="197" t="str">
        <f t="shared" si="3"/>
        <v/>
      </c>
      <c r="Y49" s="381" t="str">
        <f t="shared" si="0"/>
        <v/>
      </c>
      <c r="Z49" s="385"/>
      <c r="AA49" s="364">
        <f>Planungsblatt!F$2</f>
        <v>0</v>
      </c>
    </row>
    <row r="50" spans="2:27" x14ac:dyDescent="0.6">
      <c r="B50" s="64">
        <f t="shared" si="4"/>
        <v>27</v>
      </c>
      <c r="C50" s="181"/>
      <c r="D50" s="369"/>
      <c r="E50" s="182"/>
      <c r="F50" s="185"/>
      <c r="G50" s="173" t="str">
        <f>IF(COUNT($E50:$F50)&gt;0,$E50*$E$14*Planungsblatt!C$11+$F50*$F$14*Planungsblatt!C$17,"")</f>
        <v/>
      </c>
      <c r="H50" s="174" t="str">
        <f>IF(COUNT(E50:F50)&gt;0,IF(Planungsblatt!F$36="Gesamtverrechnung",G50,IF(G50&gt;=G$17,G50,0)),"")</f>
        <v/>
      </c>
      <c r="I50" s="187"/>
      <c r="J50" s="192"/>
      <c r="K50" s="193"/>
      <c r="L50" s="193"/>
      <c r="M50" s="194"/>
      <c r="N50" s="195" t="str">
        <f>IF(COUNT(J50:M50)&gt;0,IF(J50&gt;0,SUM(J50:M50)*Planungsblatt!C$31,0),"")</f>
        <v/>
      </c>
      <c r="O50" s="192"/>
      <c r="P50" s="193"/>
      <c r="Q50" s="193"/>
      <c r="R50" s="194"/>
      <c r="S50" s="62" t="str">
        <f>IF(COUNT(O50:R50)&gt;0,IF(O50&gt;0,(O50+P50+Q50+R50)*Planungsblatt!C$32,0),"")</f>
        <v/>
      </c>
      <c r="T50" s="171" t="str">
        <f t="shared" si="1"/>
        <v/>
      </c>
      <c r="U50" s="172" t="str">
        <f>IF(COUNT(I50:M50,O50:R50)&gt;0,IF(Planungsblatt!F$36="Gesamtverrechnung",T50,IF(T50&gt;=T$17,T50,0)),"")</f>
        <v/>
      </c>
      <c r="V50" s="18"/>
      <c r="W50" s="25">
        <f t="shared" si="2"/>
        <v>0</v>
      </c>
      <c r="X50" s="197" t="str">
        <f t="shared" si="3"/>
        <v/>
      </c>
      <c r="Y50" s="381" t="str">
        <f t="shared" si="0"/>
        <v/>
      </c>
      <c r="Z50" s="385"/>
      <c r="AA50" s="364">
        <f>Planungsblatt!F$2</f>
        <v>0</v>
      </c>
    </row>
    <row r="51" spans="2:27" ht="15.9" thickBot="1" x14ac:dyDescent="0.65">
      <c r="B51" s="64">
        <f t="shared" si="4"/>
        <v>28</v>
      </c>
      <c r="C51" s="181"/>
      <c r="D51" s="369"/>
      <c r="E51" s="182"/>
      <c r="F51" s="186"/>
      <c r="G51" s="173" t="str">
        <f>IF(COUNT($E51:$F51)&gt;0,$E51*$E$14*Planungsblatt!C$11+$F51*$F$14*Planungsblatt!C$17,"")</f>
        <v/>
      </c>
      <c r="H51" s="174" t="str">
        <f>IF(COUNT(E51:F51)&gt;0,IF(Planungsblatt!F$36="Gesamtverrechnung",G51,IF(G51&gt;=G$17,G51,0)),"")</f>
        <v/>
      </c>
      <c r="I51" s="187"/>
      <c r="J51" s="192"/>
      <c r="K51" s="193"/>
      <c r="L51" s="193"/>
      <c r="M51" s="194"/>
      <c r="N51" s="195" t="str">
        <f>IF(COUNT(J51:M51)&gt;0,IF(J51&gt;0,SUM(J51:M51)*Planungsblatt!C$31,0),"")</f>
        <v/>
      </c>
      <c r="O51" s="192"/>
      <c r="P51" s="193"/>
      <c r="Q51" s="193"/>
      <c r="R51" s="194"/>
      <c r="S51" s="62" t="str">
        <f>IF(COUNT(O51:R51)&gt;0,IF(O51&gt;0,(O51+P51+Q51+R51)*Planungsblatt!C$32,0),"")</f>
        <v/>
      </c>
      <c r="T51" s="171" t="str">
        <f t="shared" si="1"/>
        <v/>
      </c>
      <c r="U51" s="172" t="str">
        <f>IF(COUNT(I51:M51,O51:R51)&gt;0,IF(Planungsblatt!F$36="Gesamtverrechnung",T51,IF(T51&gt;=T$17,T51,0)),"")</f>
        <v/>
      </c>
      <c r="V51" s="18"/>
      <c r="W51" s="25">
        <f t="shared" si="2"/>
        <v>0</v>
      </c>
      <c r="X51" s="197" t="str">
        <f t="shared" si="3"/>
        <v/>
      </c>
      <c r="Y51" s="381" t="str">
        <f t="shared" si="0"/>
        <v/>
      </c>
      <c r="Z51" s="386"/>
      <c r="AA51" s="364">
        <f>Planungsblatt!F$2</f>
        <v>0</v>
      </c>
    </row>
    <row r="52" spans="2:27" ht="15.9" thickTop="1" x14ac:dyDescent="0.6">
      <c r="E52" s="113">
        <f>E54</f>
        <v>0</v>
      </c>
      <c r="F52" s="113">
        <f>F54</f>
        <v>0</v>
      </c>
      <c r="G52" s="113">
        <f>I54</f>
        <v>0</v>
      </c>
      <c r="H52" s="113">
        <f>N54</f>
        <v>0</v>
      </c>
      <c r="I52" s="113">
        <f>S54</f>
        <v>0</v>
      </c>
    </row>
    <row r="53" spans="2:27" x14ac:dyDescent="0.6">
      <c r="B53" s="208"/>
      <c r="C53" s="521" t="s">
        <v>71</v>
      </c>
      <c r="D53" s="521"/>
      <c r="E53" s="209">
        <f>IF(COUNT(E24:E51)&gt;0,AVERAGE(E24:E51),0)</f>
        <v>0</v>
      </c>
      <c r="F53" s="209">
        <f t="shared" ref="F53:U53" si="5">IF(COUNT(F24:F51)&gt;0,AVERAGE(F24:F51),0)</f>
        <v>0</v>
      </c>
      <c r="G53" s="209">
        <f t="shared" si="5"/>
        <v>0</v>
      </c>
      <c r="H53" s="209">
        <f t="shared" si="5"/>
        <v>0</v>
      </c>
      <c r="I53" s="209">
        <f t="shared" si="5"/>
        <v>0</v>
      </c>
      <c r="J53" s="209">
        <f t="shared" si="5"/>
        <v>0</v>
      </c>
      <c r="K53" s="209">
        <f t="shared" si="5"/>
        <v>0</v>
      </c>
      <c r="L53" s="209">
        <f t="shared" si="5"/>
        <v>0</v>
      </c>
      <c r="M53" s="209">
        <f t="shared" si="5"/>
        <v>0</v>
      </c>
      <c r="N53" s="209">
        <f t="shared" si="5"/>
        <v>0</v>
      </c>
      <c r="O53" s="209">
        <f t="shared" si="5"/>
        <v>0</v>
      </c>
      <c r="P53" s="209">
        <f t="shared" si="5"/>
        <v>0</v>
      </c>
      <c r="Q53" s="209">
        <f t="shared" si="5"/>
        <v>0</v>
      </c>
      <c r="R53" s="209">
        <f t="shared" si="5"/>
        <v>0</v>
      </c>
      <c r="S53" s="209">
        <f t="shared" si="5"/>
        <v>0</v>
      </c>
      <c r="T53" s="209">
        <f t="shared" si="5"/>
        <v>0</v>
      </c>
      <c r="U53" s="209">
        <f t="shared" si="5"/>
        <v>0</v>
      </c>
      <c r="V53" s="209"/>
      <c r="W53" s="209">
        <f t="shared" ref="W53" si="6">AVERAGE(W24:W51)</f>
        <v>0</v>
      </c>
      <c r="X53" s="209">
        <f>IF(COUNT(X24:X51)&gt;0,AVERAGE(X24:X51),0)</f>
        <v>0</v>
      </c>
      <c r="Y53" s="210"/>
      <c r="Z53" s="44"/>
    </row>
    <row r="54" spans="2:27" x14ac:dyDescent="0.6">
      <c r="B54" s="208"/>
      <c r="C54" s="521" t="s">
        <v>70</v>
      </c>
      <c r="D54" s="521"/>
      <c r="E54" s="209">
        <f>IF(E$22&gt;0,E53/E$22*100,0)</f>
        <v>0</v>
      </c>
      <c r="F54" s="209">
        <f t="shared" ref="F54:X54" si="7">IF(F$22&gt;0,F53/F$22*100,0)</f>
        <v>0</v>
      </c>
      <c r="G54" s="209">
        <f t="shared" si="7"/>
        <v>0</v>
      </c>
      <c r="H54" s="209">
        <f t="shared" si="7"/>
        <v>0</v>
      </c>
      <c r="I54" s="209">
        <f t="shared" si="7"/>
        <v>0</v>
      </c>
      <c r="J54" s="209">
        <f t="shared" si="7"/>
        <v>0</v>
      </c>
      <c r="K54" s="209">
        <f t="shared" si="7"/>
        <v>0</v>
      </c>
      <c r="L54" s="209">
        <f t="shared" si="7"/>
        <v>0</v>
      </c>
      <c r="M54" s="209">
        <f t="shared" si="7"/>
        <v>0</v>
      </c>
      <c r="N54" s="209">
        <f t="shared" si="7"/>
        <v>0</v>
      </c>
      <c r="O54" s="209">
        <f t="shared" si="7"/>
        <v>0</v>
      </c>
      <c r="P54" s="209">
        <f t="shared" si="7"/>
        <v>0</v>
      </c>
      <c r="Q54" s="209">
        <f t="shared" si="7"/>
        <v>0</v>
      </c>
      <c r="R54" s="209">
        <f t="shared" si="7"/>
        <v>0</v>
      </c>
      <c r="S54" s="209">
        <f t="shared" si="7"/>
        <v>0</v>
      </c>
      <c r="T54" s="209">
        <f t="shared" si="7"/>
        <v>0</v>
      </c>
      <c r="U54" s="209">
        <f t="shared" si="7"/>
        <v>0</v>
      </c>
      <c r="V54" s="209"/>
      <c r="W54" s="209">
        <f t="shared" si="7"/>
        <v>0</v>
      </c>
      <c r="X54" s="209">
        <f t="shared" si="7"/>
        <v>0</v>
      </c>
      <c r="Y54" s="209"/>
      <c r="Z54" s="44"/>
    </row>
    <row r="55" spans="2:27" x14ac:dyDescent="0.6">
      <c r="C55" s="44"/>
      <c r="D55" s="44"/>
      <c r="V55" s="44"/>
      <c r="Y55" s="44"/>
    </row>
    <row r="57" spans="2:27" x14ac:dyDescent="0.6">
      <c r="D57" s="44"/>
    </row>
  </sheetData>
  <sheetProtection password="C570" sheet="1" objects="1" scenarios="1" selectLockedCells="1"/>
  <mergeCells count="65">
    <mergeCell ref="Z19:Z21"/>
    <mergeCell ref="T8:V8"/>
    <mergeCell ref="T3:Z3"/>
    <mergeCell ref="T9:Z9"/>
    <mergeCell ref="O4:Q4"/>
    <mergeCell ref="O5:Q5"/>
    <mergeCell ref="O6:Q6"/>
    <mergeCell ref="O7:Q7"/>
    <mergeCell ref="O8:Q8"/>
    <mergeCell ref="O9:Q9"/>
    <mergeCell ref="L3:R3"/>
    <mergeCell ref="H8:K8"/>
    <mergeCell ref="H9:K9"/>
    <mergeCell ref="H3:K3"/>
    <mergeCell ref="L5:N5"/>
    <mergeCell ref="L6:N6"/>
    <mergeCell ref="L7:N7"/>
    <mergeCell ref="L8:N8"/>
    <mergeCell ref="L9:N9"/>
    <mergeCell ref="H4:K4"/>
    <mergeCell ref="L4:N4"/>
    <mergeCell ref="H5:K5"/>
    <mergeCell ref="H6:K6"/>
    <mergeCell ref="H7:K7"/>
    <mergeCell ref="AC3:AD3"/>
    <mergeCell ref="B6:C6"/>
    <mergeCell ref="B7:C7"/>
    <mergeCell ref="B3:F5"/>
    <mergeCell ref="T4:V4"/>
    <mergeCell ref="T5:V5"/>
    <mergeCell ref="T6:V6"/>
    <mergeCell ref="T7:V7"/>
    <mergeCell ref="C53:D53"/>
    <mergeCell ref="C54:D54"/>
    <mergeCell ref="J12:M12"/>
    <mergeCell ref="O12:R12"/>
    <mergeCell ref="C12:D12"/>
    <mergeCell ref="E16:F16"/>
    <mergeCell ref="C22:D22"/>
    <mergeCell ref="D9:F9"/>
    <mergeCell ref="O15:S15"/>
    <mergeCell ref="I16:S16"/>
    <mergeCell ref="C8:D8"/>
    <mergeCell ref="T19:U19"/>
    <mergeCell ref="J19:N19"/>
    <mergeCell ref="O19:S19"/>
    <mergeCell ref="G19:H19"/>
    <mergeCell ref="B13:D13"/>
    <mergeCell ref="B14:D14"/>
    <mergeCell ref="T11:U11"/>
    <mergeCell ref="B9:C9"/>
    <mergeCell ref="B15:D15"/>
    <mergeCell ref="B16:D16"/>
    <mergeCell ref="B17:D17"/>
    <mergeCell ref="B11:D11"/>
    <mergeCell ref="G11:H11"/>
    <mergeCell ref="G13:H14"/>
    <mergeCell ref="I17:S17"/>
    <mergeCell ref="J11:N11"/>
    <mergeCell ref="J13:N13"/>
    <mergeCell ref="J14:N14"/>
    <mergeCell ref="J15:N15"/>
    <mergeCell ref="O11:S11"/>
    <mergeCell ref="O13:S13"/>
    <mergeCell ref="O14:S14"/>
  </mergeCells>
  <phoneticPr fontId="32" type="noConversion"/>
  <dataValidations count="1">
    <dataValidation type="list" allowBlank="1" showInputMessage="1" showErrorMessage="1" sqref="D24:D51">
      <formula1>"w,m"</formula1>
    </dataValidation>
  </dataValidations>
  <pageMargins left="0.98425196850393704" right="0.51181102362204722" top="0.39370078740157483" bottom="0.15748031496062992" header="0.11811023622047245" footer="0.11811023622047245"/>
  <pageSetup paperSize="9" scale="77" orientation="landscape" r:id="rId1"/>
  <ignoredErrors>
    <ignoredError sqref="N24:N32 N33:N45 N46:N51" formulaRange="1"/>
    <ignoredError sqref="B7" unlockedFormula="1"/>
  </ignoredErrors>
  <extLst>
    <ext xmlns:x14="http://schemas.microsoft.com/office/spreadsheetml/2009/9/main" uri="{78C0D931-6437-407d-A8EE-F0AAD7539E65}">
      <x14:conditionalFormattings>
        <x14:conditionalFormatting xmlns:xm="http://schemas.microsoft.com/office/excel/2006/main">
          <x14:cfRule type="expression" priority="12" id="{8F5BBE9D-4E3C-48EF-9D3F-E8056CB8435E}">
            <xm:f>Planungsblatt!$C$11=0</xm:f>
            <x14:dxf>
              <fill>
                <patternFill>
                  <bgColor theme="0" tint="-0.14996795556505021"/>
                </patternFill>
              </fill>
            </x14:dxf>
          </x14:cfRule>
          <xm:sqref>E24:E51</xm:sqref>
        </x14:conditionalFormatting>
        <x14:conditionalFormatting xmlns:xm="http://schemas.microsoft.com/office/excel/2006/main">
          <x14:cfRule type="expression" priority="9" id="{C655DA09-926E-44D7-B1A3-CB312CFE4ECB}">
            <xm:f>Planungsblatt!$C$24=0</xm:f>
            <x14:dxf>
              <fill>
                <patternFill>
                  <bgColor theme="0" tint="-0.14996795556505021"/>
                </patternFill>
              </fill>
            </x14:dxf>
          </x14:cfRule>
          <xm:sqref>I24:M51</xm:sqref>
        </x14:conditionalFormatting>
        <x14:conditionalFormatting xmlns:xm="http://schemas.microsoft.com/office/excel/2006/main">
          <x14:cfRule type="expression" priority="6" id="{B8BD7F69-4105-4861-B172-5688B3E35D0B}">
            <xm:f>Planungsblatt!$C$32=0</xm:f>
            <x14:dxf>
              <fill>
                <patternFill>
                  <bgColor theme="0" tint="-0.14996795556505021"/>
                </patternFill>
              </fill>
            </x14:dxf>
          </x14:cfRule>
          <xm:sqref>O24:R51</xm:sqref>
        </x14:conditionalFormatting>
        <x14:conditionalFormatting xmlns:xm="http://schemas.microsoft.com/office/excel/2006/main">
          <x14:cfRule type="expression" priority="2" id="{5D3A4137-273C-4FB1-8226-9DF5586BA80D}">
            <xm:f>Planungsblatt!$C$31=0</xm:f>
            <x14:dxf>
              <fill>
                <patternFill>
                  <bgColor theme="0" tint="-0.14996795556505021"/>
                </patternFill>
              </fill>
            </x14:dxf>
          </x14:cfRule>
          <x14:cfRule type="expression" priority="3" id="{C58AAE23-FABC-4609-86AD-B1D5AEB8709D}">
            <xm:f>Planungsblatt!$C$31=0</xm:f>
            <x14:dxf>
              <fill>
                <patternFill>
                  <bgColor theme="0" tint="-0.14996795556505021"/>
                </patternFill>
              </fill>
            </x14:dxf>
          </x14:cfRule>
          <xm:sqref>J24:M51</xm:sqref>
        </x14:conditionalFormatting>
        <x14:conditionalFormatting xmlns:xm="http://schemas.microsoft.com/office/excel/2006/main">
          <x14:cfRule type="expression" priority="1" id="{CE961149-7249-4B64-9A0B-9D7CF4C12924}">
            <xm:f>Planungsblatt!$C$17=0</xm:f>
            <x14:dxf>
              <fill>
                <patternFill>
                  <bgColor theme="0" tint="-0.24994659260841701"/>
                </patternFill>
              </fill>
            </x14:dxf>
          </x14:cfRule>
          <xm:sqref>F24:F51</xm:sqref>
        </x14:conditionalFormatting>
      </x14:conditionalFormattings>
    </ext>
    <ext xmlns:x14="http://schemas.microsoft.com/office/spreadsheetml/2009/9/main" uri="{CCE6A557-97BC-4b89-ADB6-D9C93CAAB3DF}">
      <x14:dataValidations xmlns:xm="http://schemas.microsoft.com/office/excel/2006/main" count="5">
        <x14:dataValidation type="custom" allowBlank="1" showInputMessage="1" showErrorMessage="1" errorTitle="ungültige Eingabe">
          <x14:formula1>
            <xm:f>AND(Planungsblatt!$C$11=1,E24&lt;=E$22)</xm:f>
          </x14:formula1>
          <xm:sqref>E24:E51</xm:sqref>
        </x14:dataValidation>
        <x14:dataValidation type="custom" allowBlank="1" showInputMessage="1" showErrorMessage="1" errorTitle="ungültige Eingabe">
          <x14:formula1>
            <xm:f>AND(Planungsblatt!$C$24=1,I24&lt;=I$22)</xm:f>
          </x14:formula1>
          <xm:sqref>I24:I51</xm:sqref>
        </x14:dataValidation>
        <x14:dataValidation type="custom" allowBlank="1" showInputMessage="1" showErrorMessage="1" errorTitle="ungültige Eingabe">
          <x14:formula1>
            <xm:f>AND(Planungsblatt!$C$31=1,J24&lt;=J$22)</xm:f>
          </x14:formula1>
          <xm:sqref>J24:M51</xm:sqref>
        </x14:dataValidation>
        <x14:dataValidation type="custom" allowBlank="1" showInputMessage="1" showErrorMessage="1" errorTitle="ungültige Eingabe">
          <x14:formula1>
            <xm:f>AND(Planungsblatt!$C$32=1,O24&lt;=O$22)</xm:f>
          </x14:formula1>
          <xm:sqref>O24:R51</xm:sqref>
        </x14:dataValidation>
        <x14:dataValidation type="custom" allowBlank="1" showInputMessage="1" showErrorMessage="1" errorTitle="ungültige Eingabe">
          <x14:formula1>
            <xm:f>AND(Planungsblatt!$C$17=1,F24&lt;=F$22)</xm:f>
          </x14:formula1>
          <xm:sqref>F24:F51</xm:sqref>
        </x14:dataValidation>
      </x14:dataValidations>
    </ex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C2:AF50"/>
  <sheetViews>
    <sheetView topLeftCell="B1" zoomScale="80" zoomScaleNormal="80" zoomScalePageLayoutView="80" workbookViewId="0">
      <selection activeCell="E8" sqref="E8"/>
    </sheetView>
  </sheetViews>
  <sheetFormatPr defaultColWidth="10.796875" defaultRowHeight="15.6" x14ac:dyDescent="0.6"/>
  <cols>
    <col min="5" max="5" width="8.09765625" customWidth="1"/>
    <col min="6" max="6" width="4.34765625" customWidth="1"/>
    <col min="7" max="7" width="20.5" customWidth="1"/>
    <col min="8" max="8" width="4.34765625" hidden="1" customWidth="1"/>
    <col min="9" max="9" width="3.5" hidden="1" customWidth="1"/>
    <col min="10" max="10" width="4.59765625" hidden="1" customWidth="1"/>
    <col min="11" max="11" width="4.09765625" hidden="1" customWidth="1"/>
    <col min="12" max="12" width="18.84765625" customWidth="1"/>
    <col min="13" max="13" width="6.59765625" customWidth="1"/>
    <col min="14" max="14" width="5.84765625" customWidth="1"/>
    <col min="15" max="15" width="6.5" customWidth="1"/>
    <col min="16" max="16" width="20.34765625" customWidth="1"/>
    <col min="17" max="17" width="7.09765625" customWidth="1"/>
    <col min="18" max="18" width="5.34765625" customWidth="1"/>
    <col min="19" max="19" width="22.25" customWidth="1"/>
    <col min="20" max="20" width="4.59765625" customWidth="1"/>
    <col min="21" max="21" width="6.34765625" customWidth="1"/>
    <col min="22" max="23" width="6.59765625" customWidth="1"/>
  </cols>
  <sheetData>
    <row r="2" spans="3:32" ht="15.75" customHeight="1" x14ac:dyDescent="0.6">
      <c r="L2" s="586"/>
      <c r="M2" s="586"/>
      <c r="N2" s="305"/>
      <c r="O2" s="44"/>
      <c r="P2" s="44"/>
      <c r="Q2" s="44"/>
    </row>
    <row r="3" spans="3:32" ht="23.25" customHeight="1" x14ac:dyDescent="0.6">
      <c r="C3" s="587" t="s">
        <v>77</v>
      </c>
      <c r="D3" s="587"/>
      <c r="E3" s="587"/>
      <c r="L3" s="359" t="str">
        <f>Planungsblatt!D6</f>
        <v>Reifeprüfung</v>
      </c>
      <c r="M3" s="360" t="str">
        <f>IF(Klassenübersicht!D7="","",Klassenübersicht!D7)</f>
        <v/>
      </c>
      <c r="N3" s="588">
        <f>VLOOKUP(E8,Hilfstabelle!B5:C32,2,FALSE)</f>
        <v>0</v>
      </c>
      <c r="O3" s="589"/>
      <c r="P3" s="589"/>
      <c r="Q3" s="589"/>
      <c r="R3" s="215"/>
      <c r="S3" s="216"/>
      <c r="T3" s="216"/>
      <c r="U3" s="216"/>
      <c r="V3" s="216"/>
      <c r="W3" s="216"/>
      <c r="Z3" s="117"/>
      <c r="AA3" s="614" t="s">
        <v>76</v>
      </c>
      <c r="AB3" s="614"/>
      <c r="AC3" s="203">
        <f>Klassenübersicht!D6</f>
        <v>0</v>
      </c>
      <c r="AD3" s="615" t="s">
        <v>74</v>
      </c>
      <c r="AE3" s="615"/>
      <c r="AF3" s="117"/>
    </row>
    <row r="4" spans="3:32" ht="33" customHeight="1" x14ac:dyDescent="0.6">
      <c r="C4" s="587"/>
      <c r="D4" s="587"/>
      <c r="E4" s="587"/>
      <c r="F4" s="117"/>
      <c r="G4" s="306" t="s">
        <v>2</v>
      </c>
      <c r="H4" s="117"/>
      <c r="I4" s="117"/>
      <c r="J4" s="117"/>
      <c r="K4" s="117"/>
      <c r="L4" s="347" t="s">
        <v>0</v>
      </c>
      <c r="M4" s="348" t="s">
        <v>9</v>
      </c>
      <c r="N4" s="616" t="s">
        <v>82</v>
      </c>
      <c r="O4" s="617"/>
      <c r="P4" s="349" t="s">
        <v>101</v>
      </c>
      <c r="Q4" s="350" t="s">
        <v>84</v>
      </c>
      <c r="R4" s="217"/>
      <c r="S4" s="216"/>
      <c r="T4" s="216"/>
      <c r="U4" s="216"/>
      <c r="V4" s="216"/>
      <c r="W4" s="216"/>
      <c r="Z4" s="117"/>
      <c r="AA4" s="214" t="s">
        <v>9</v>
      </c>
      <c r="AB4" s="204" t="s">
        <v>83</v>
      </c>
      <c r="AC4" s="204" t="s">
        <v>85</v>
      </c>
      <c r="AD4" s="214" t="s">
        <v>9</v>
      </c>
      <c r="AE4" s="204" t="s">
        <v>83</v>
      </c>
      <c r="AF4" s="117"/>
    </row>
    <row r="5" spans="3:32" x14ac:dyDescent="0.6">
      <c r="C5" s="587"/>
      <c r="D5" s="587"/>
      <c r="E5" s="587"/>
      <c r="F5" s="117"/>
      <c r="G5" s="595" t="s">
        <v>3</v>
      </c>
      <c r="H5" s="118"/>
      <c r="I5" s="119"/>
      <c r="J5" s="118"/>
      <c r="K5" s="119"/>
      <c r="L5" s="351" t="s">
        <v>5</v>
      </c>
      <c r="M5" s="352">
        <f>Hilfstabelle!L5</f>
        <v>0</v>
      </c>
      <c r="N5" s="618">
        <f>IF(M5="","",ROUND(M5*R5,1))</f>
        <v>0</v>
      </c>
      <c r="O5" s="619"/>
      <c r="P5" s="593">
        <f>M5*R5+M6*R6</f>
        <v>0</v>
      </c>
      <c r="Q5" s="353">
        <f>IF(AE5&gt;0,ROUND(N5/AE5*100,3),0)</f>
        <v>0</v>
      </c>
      <c r="R5" s="218">
        <f>Klassenübersicht!E14</f>
        <v>0.78125</v>
      </c>
      <c r="S5" s="216"/>
      <c r="T5" s="216"/>
      <c r="U5" s="216"/>
      <c r="V5" s="216"/>
      <c r="W5" s="216"/>
      <c r="Z5" s="117"/>
      <c r="AA5" s="205">
        <f>Klassenübersicht!E53</f>
        <v>0</v>
      </c>
      <c r="AB5" s="213">
        <f>ROUND(AA5*R5,1)</f>
        <v>0</v>
      </c>
      <c r="AC5" s="206">
        <f>IF(AE5&gt;0,ROUND(AB5/AE5,3),0)</f>
        <v>0</v>
      </c>
      <c r="AD5" s="202">
        <f>Klassenübersicht!E13</f>
        <v>32</v>
      </c>
      <c r="AE5" s="202">
        <f>AD5*R5</f>
        <v>25</v>
      </c>
      <c r="AF5" s="117"/>
    </row>
    <row r="6" spans="3:32" x14ac:dyDescent="0.6">
      <c r="C6" s="590"/>
      <c r="D6" s="590"/>
      <c r="E6" s="590"/>
      <c r="F6" s="117"/>
      <c r="G6" s="596"/>
      <c r="H6" s="118"/>
      <c r="I6" s="119"/>
      <c r="J6" s="118"/>
      <c r="K6" s="119"/>
      <c r="L6" s="354" t="s">
        <v>6</v>
      </c>
      <c r="M6" s="355">
        <f>Hilfstabelle!L8</f>
        <v>0</v>
      </c>
      <c r="N6" s="591">
        <f>IF(M6="","",ROUND(M6*R6,1))</f>
        <v>0</v>
      </c>
      <c r="O6" s="592"/>
      <c r="P6" s="594"/>
      <c r="Q6" s="356">
        <f>IF(AE6&gt;0,ROUND(N6/AE6*100,3),0)</f>
        <v>0</v>
      </c>
      <c r="R6" s="218">
        <f>Klassenübersicht!F14</f>
        <v>0.86206896551724133</v>
      </c>
      <c r="S6" s="216"/>
      <c r="T6" s="216"/>
      <c r="U6" s="216"/>
      <c r="V6" s="216"/>
      <c r="W6" s="216"/>
      <c r="Z6" s="117"/>
      <c r="AA6" s="205">
        <f>Klassenübersicht!F53</f>
        <v>0</v>
      </c>
      <c r="AB6" s="213">
        <f>ROUND(AA6*R6,1)</f>
        <v>0</v>
      </c>
      <c r="AC6" s="206">
        <f t="shared" ref="AC6:AC9" si="0">IF(AE6&gt;0,ROUND(AB6/AE6,3),0)</f>
        <v>0</v>
      </c>
      <c r="AD6" s="207">
        <f>Klassenübersicht!F13</f>
        <v>29</v>
      </c>
      <c r="AE6" s="202">
        <f>AD6*R6</f>
        <v>25</v>
      </c>
      <c r="AF6" s="117"/>
    </row>
    <row r="7" spans="3:32" x14ac:dyDescent="0.6">
      <c r="C7" s="590"/>
      <c r="D7" s="590"/>
      <c r="E7" s="590"/>
      <c r="F7" s="117"/>
      <c r="G7" s="624" t="s">
        <v>4</v>
      </c>
      <c r="H7" s="118"/>
      <c r="I7" s="119"/>
      <c r="J7" s="118"/>
      <c r="K7" s="119"/>
      <c r="L7" s="351" t="s">
        <v>73</v>
      </c>
      <c r="M7" s="352">
        <f>Hilfstabelle!L11</f>
        <v>0</v>
      </c>
      <c r="N7" s="621">
        <f>IF(M7="","",M7*R7)</f>
        <v>0</v>
      </c>
      <c r="O7" s="622"/>
      <c r="P7" s="620">
        <f>M7*R7+M8*R8+M9*R9</f>
        <v>0</v>
      </c>
      <c r="Q7" s="357">
        <f>IF(AE7&gt;0,ROUND(N7/AE7*100,3),0)</f>
        <v>0</v>
      </c>
      <c r="R7" s="218">
        <f>Klassenübersicht!I14</f>
        <v>0.53191489361702127</v>
      </c>
      <c r="S7" s="216"/>
      <c r="T7" s="216"/>
      <c r="U7" s="216"/>
      <c r="V7" s="216"/>
      <c r="W7" s="216"/>
      <c r="Z7" s="117"/>
      <c r="AA7" s="205">
        <f>Klassenübersicht!I53</f>
        <v>0</v>
      </c>
      <c r="AB7" s="213">
        <f>ROUND(AA7*R7,1)</f>
        <v>0</v>
      </c>
      <c r="AC7" s="206">
        <f t="shared" si="0"/>
        <v>0</v>
      </c>
      <c r="AD7" s="207">
        <f>Klassenübersicht!I13</f>
        <v>47</v>
      </c>
      <c r="AE7" s="202">
        <f>AD7*R7</f>
        <v>25</v>
      </c>
      <c r="AF7" s="117"/>
    </row>
    <row r="8" spans="3:32" x14ac:dyDescent="0.6">
      <c r="C8" s="599" t="s">
        <v>75</v>
      </c>
      <c r="D8" s="599"/>
      <c r="E8" s="366">
        <v>28</v>
      </c>
      <c r="F8" s="117"/>
      <c r="G8" s="625"/>
      <c r="H8" s="118"/>
      <c r="I8" s="119"/>
      <c r="J8" s="118"/>
      <c r="K8" s="119"/>
      <c r="L8" s="351" t="s">
        <v>7</v>
      </c>
      <c r="M8" s="358">
        <f>Hilfstabelle!L14</f>
        <v>0</v>
      </c>
      <c r="N8" s="621">
        <f>IF(M8="","",M8*R8)</f>
        <v>0</v>
      </c>
      <c r="O8" s="622"/>
      <c r="P8" s="620"/>
      <c r="Q8" s="357">
        <f>IF(AE8&gt;0,ROUND(N8/AE8*100,3),0)</f>
        <v>0</v>
      </c>
      <c r="R8" s="218">
        <f>Klassenübersicht!J14</f>
        <v>0.3125</v>
      </c>
      <c r="S8" s="216"/>
      <c r="T8" s="216"/>
      <c r="U8" s="307"/>
      <c r="V8" s="216"/>
      <c r="W8" s="216"/>
      <c r="Z8" s="117"/>
      <c r="AA8" s="205">
        <f>Klassenübersicht!N53</f>
        <v>0</v>
      </c>
      <c r="AB8" s="213">
        <f>ROUND(AA8*R8,1)</f>
        <v>0</v>
      </c>
      <c r="AC8" s="206">
        <f t="shared" si="0"/>
        <v>0</v>
      </c>
      <c r="AD8" s="202">
        <f>Klassenübersicht!J13</f>
        <v>40</v>
      </c>
      <c r="AE8" s="202">
        <f>AD8*R8</f>
        <v>12.5</v>
      </c>
      <c r="AF8" s="117"/>
    </row>
    <row r="9" spans="3:32" ht="16.5" customHeight="1" x14ac:dyDescent="0.6">
      <c r="C9" s="597">
        <f>N3</f>
        <v>0</v>
      </c>
      <c r="D9" s="597"/>
      <c r="E9" s="597"/>
      <c r="F9" s="117"/>
      <c r="G9" s="625"/>
      <c r="H9" s="304"/>
      <c r="I9" s="304"/>
      <c r="J9" s="304"/>
      <c r="K9" s="304"/>
      <c r="L9" s="351" t="s">
        <v>8</v>
      </c>
      <c r="M9" s="358">
        <f>IF(Hilfstabelle!L17="","",Hilfstabelle!L17)</f>
        <v>0</v>
      </c>
      <c r="N9" s="621">
        <f>IF(M9="","",M9*R9)</f>
        <v>0</v>
      </c>
      <c r="O9" s="622"/>
      <c r="P9" s="620"/>
      <c r="Q9" s="357">
        <f>IF(AE9&gt;0,ROUND(N9/AE9*100,3),0)</f>
        <v>0</v>
      </c>
      <c r="R9" s="218">
        <f>Klassenübersicht!O14</f>
        <v>0.3125</v>
      </c>
      <c r="S9" s="216"/>
      <c r="T9" s="216"/>
      <c r="U9" s="216"/>
      <c r="V9" s="216"/>
      <c r="W9" s="216"/>
      <c r="Z9" s="117"/>
      <c r="AA9" s="205">
        <f>Klassenübersicht!S53</f>
        <v>0</v>
      </c>
      <c r="AB9" s="213">
        <f>ROUND(AA9*R9,1)</f>
        <v>0</v>
      </c>
      <c r="AC9" s="206">
        <f t="shared" si="0"/>
        <v>0</v>
      </c>
      <c r="AD9" s="202">
        <f>Klassenübersicht!O13</f>
        <v>40</v>
      </c>
      <c r="AE9" s="202">
        <f>AD9*R9</f>
        <v>12.5</v>
      </c>
      <c r="AF9" s="117"/>
    </row>
    <row r="10" spans="3:32" ht="16.5" customHeight="1" thickBot="1" x14ac:dyDescent="0.65">
      <c r="C10" s="598"/>
      <c r="D10" s="598"/>
      <c r="E10" s="598"/>
      <c r="F10" s="117"/>
      <c r="G10" s="117"/>
      <c r="H10" s="117"/>
      <c r="I10" s="117"/>
      <c r="J10" s="117"/>
      <c r="K10" s="117"/>
      <c r="L10" s="302"/>
      <c r="M10" s="303"/>
      <c r="N10" s="623"/>
      <c r="O10" s="623"/>
      <c r="P10" s="220"/>
      <c r="Q10" s="218"/>
      <c r="R10" s="218"/>
      <c r="S10" s="216"/>
      <c r="T10" s="216"/>
      <c r="U10" s="216"/>
      <c r="V10" s="216"/>
      <c r="W10" s="216"/>
      <c r="Z10" s="117"/>
      <c r="AA10" s="205"/>
      <c r="AB10" s="213">
        <f>SUM(AB7:AB9)</f>
        <v>0</v>
      </c>
      <c r="AC10" s="206"/>
      <c r="AD10" s="202"/>
      <c r="AE10" s="202">
        <f>SUM(AE7:AE9)</f>
        <v>50</v>
      </c>
      <c r="AF10" s="117"/>
    </row>
    <row r="11" spans="3:32" ht="15.9" thickBot="1" x14ac:dyDescent="0.65">
      <c r="C11" s="180"/>
      <c r="D11" s="180"/>
      <c r="E11" s="180"/>
      <c r="F11" s="117"/>
      <c r="G11" s="117"/>
      <c r="H11" s="117"/>
      <c r="I11" s="117"/>
      <c r="J11" s="117"/>
      <c r="K11" s="117"/>
      <c r="L11" s="626" t="s">
        <v>1</v>
      </c>
      <c r="M11" s="626"/>
      <c r="N11" s="626"/>
      <c r="O11" s="627"/>
      <c r="P11" s="309">
        <f>P5+P7</f>
        <v>0</v>
      </c>
      <c r="Q11" s="221"/>
      <c r="R11" s="221"/>
      <c r="S11" s="216"/>
      <c r="T11" s="216"/>
      <c r="U11" s="216"/>
      <c r="V11" s="216"/>
      <c r="W11" s="216"/>
      <c r="Z11" s="117"/>
      <c r="AA11" s="205"/>
      <c r="AB11" s="213"/>
      <c r="AC11" s="206"/>
      <c r="AD11" s="202"/>
      <c r="AE11" s="202" t="e">
        <f>#REF!+AE10</f>
        <v>#REF!</v>
      </c>
      <c r="AF11" s="117"/>
    </row>
    <row r="12" spans="3:32" ht="16.5" customHeight="1" thickBot="1" x14ac:dyDescent="0.65">
      <c r="C12" s="601" t="s">
        <v>114</v>
      </c>
      <c r="D12" s="602"/>
      <c r="E12" s="603"/>
      <c r="J12" s="117"/>
      <c r="K12" s="117"/>
      <c r="N12" s="216"/>
      <c r="O12" s="216"/>
      <c r="P12" s="361">
        <f>VLOOKUP(E8,Hilfstabelle!B5:E32,4,FALSE)</f>
        <v>0</v>
      </c>
      <c r="Q12" s="216"/>
      <c r="R12" s="219"/>
      <c r="S12" s="216"/>
      <c r="T12" s="216"/>
      <c r="U12" s="216"/>
      <c r="V12" s="216"/>
      <c r="W12" s="216"/>
      <c r="Z12" s="117"/>
      <c r="AA12" s="117"/>
      <c r="AB12" s="117"/>
      <c r="AC12" s="117"/>
      <c r="AD12" s="117"/>
      <c r="AE12" s="117"/>
      <c r="AF12" s="117"/>
    </row>
    <row r="13" spans="3:32" ht="36.75" customHeight="1" thickBot="1" x14ac:dyDescent="0.65">
      <c r="C13" s="604"/>
      <c r="D13" s="605"/>
      <c r="E13" s="606"/>
      <c r="L13" s="600" t="s">
        <v>102</v>
      </c>
      <c r="M13" s="600"/>
      <c r="N13" s="600"/>
      <c r="O13" s="600"/>
      <c r="P13" s="363" t="str">
        <f>Hilfstabelle!N4</f>
        <v/>
      </c>
      <c r="Q13" s="222"/>
      <c r="S13" s="301"/>
      <c r="T13" s="301"/>
      <c r="U13" s="301"/>
      <c r="Z13" s="117"/>
      <c r="AA13" s="117"/>
      <c r="AB13" s="117"/>
      <c r="AC13" s="117"/>
      <c r="AD13" s="117"/>
      <c r="AE13" s="117"/>
      <c r="AF13" s="117"/>
    </row>
    <row r="14" spans="3:32" ht="17.25" customHeight="1" thickBot="1" x14ac:dyDescent="0.65">
      <c r="C14" s="604"/>
      <c r="D14" s="605"/>
      <c r="E14" s="606"/>
      <c r="L14" s="297"/>
      <c r="M14" s="297"/>
      <c r="N14" s="297"/>
      <c r="O14" s="297"/>
      <c r="P14" s="297"/>
      <c r="Q14" s="297"/>
      <c r="R14" s="297"/>
      <c r="S14" s="297"/>
      <c r="T14" s="297"/>
      <c r="U14" s="297"/>
      <c r="V14" s="297"/>
      <c r="W14" s="297"/>
    </row>
    <row r="15" spans="3:32" ht="16.5" customHeight="1" thickBot="1" x14ac:dyDescent="0.65">
      <c r="C15" s="607"/>
      <c r="D15" s="608"/>
      <c r="E15" s="609"/>
      <c r="L15" s="612" t="s">
        <v>63</v>
      </c>
      <c r="M15" s="612"/>
      <c r="N15" s="612"/>
      <c r="O15" s="613"/>
      <c r="P15" s="308" t="str">
        <f>Klassenübersicht!$D$9</f>
        <v>RP-Modell</v>
      </c>
      <c r="Q15" s="300"/>
    </row>
    <row r="16" spans="3:32" x14ac:dyDescent="0.6">
      <c r="C16" s="413"/>
      <c r="D16" s="413"/>
      <c r="E16" s="413"/>
      <c r="H16" s="296"/>
      <c r="I16" s="296"/>
      <c r="J16" s="296"/>
      <c r="K16" s="296"/>
      <c r="L16" s="297"/>
      <c r="M16" s="297"/>
      <c r="N16" s="297"/>
      <c r="O16" s="297"/>
      <c r="P16" s="297"/>
      <c r="Q16" s="297"/>
    </row>
    <row r="17" spans="3:23" x14ac:dyDescent="0.6">
      <c r="C17" s="413"/>
      <c r="D17" s="413"/>
      <c r="E17" s="413"/>
      <c r="G17" s="628" t="s">
        <v>86</v>
      </c>
      <c r="H17" s="628"/>
      <c r="I17" s="628"/>
      <c r="J17" s="628"/>
      <c r="K17" s="628"/>
      <c r="L17" s="628"/>
      <c r="M17" s="628"/>
      <c r="N17" s="628"/>
      <c r="O17" s="628"/>
      <c r="P17" s="628"/>
      <c r="Q17" s="628"/>
      <c r="R17" s="299"/>
      <c r="S17" s="297"/>
      <c r="T17" s="362"/>
      <c r="U17" s="297"/>
      <c r="V17" s="297"/>
      <c r="W17" s="297"/>
    </row>
    <row r="18" spans="3:23" ht="15.75" customHeight="1" x14ac:dyDescent="0.6">
      <c r="C18" s="408"/>
      <c r="D18" s="408"/>
      <c r="E18" s="408"/>
      <c r="L18" s="120" t="s">
        <v>5</v>
      </c>
      <c r="M18" s="179">
        <f>$N$5</f>
        <v>0</v>
      </c>
      <c r="N18" s="179">
        <f>$Q$5</f>
        <v>0</v>
      </c>
      <c r="O18" s="179">
        <f>$AB$5</f>
        <v>0</v>
      </c>
      <c r="P18" s="179"/>
      <c r="Q18" s="179">
        <f>$AC$5*100</f>
        <v>0</v>
      </c>
      <c r="R18" s="298">
        <f>$AE$5</f>
        <v>25</v>
      </c>
      <c r="S18" s="408"/>
      <c r="T18" s="408"/>
      <c r="U18" s="408"/>
    </row>
    <row r="19" spans="3:23" x14ac:dyDescent="0.6">
      <c r="C19" s="408"/>
      <c r="D19" s="408"/>
      <c r="E19" s="408"/>
      <c r="L19" s="120" t="s">
        <v>6</v>
      </c>
      <c r="M19" s="179">
        <f>$N$6</f>
        <v>0</v>
      </c>
      <c r="N19" s="179">
        <f>$Q$6</f>
        <v>0</v>
      </c>
      <c r="O19" s="179">
        <f>$AB$6</f>
        <v>0</v>
      </c>
      <c r="P19" s="179"/>
      <c r="Q19" s="179">
        <f>$AC$6*100</f>
        <v>0</v>
      </c>
      <c r="R19" s="298">
        <f>$AE$6</f>
        <v>25</v>
      </c>
      <c r="S19" s="408"/>
      <c r="T19" s="408"/>
      <c r="U19" s="408"/>
    </row>
    <row r="20" spans="3:23" x14ac:dyDescent="0.6">
      <c r="C20" s="408"/>
      <c r="D20" s="408"/>
      <c r="E20" s="408"/>
      <c r="L20" s="120" t="s">
        <v>73</v>
      </c>
      <c r="M20" s="179">
        <f>$N$7</f>
        <v>0</v>
      </c>
      <c r="N20" s="179">
        <f>$Q$7</f>
        <v>0</v>
      </c>
      <c r="O20" s="179">
        <f>$AB$7</f>
        <v>0</v>
      </c>
      <c r="P20" s="179"/>
      <c r="Q20" s="179">
        <f>$AC$7*100</f>
        <v>0</v>
      </c>
      <c r="R20" s="298">
        <f>$AE$7</f>
        <v>25</v>
      </c>
      <c r="S20" s="408"/>
      <c r="T20" s="408"/>
      <c r="U20" s="408"/>
    </row>
    <row r="21" spans="3:23" x14ac:dyDescent="0.6">
      <c r="C21" s="408"/>
      <c r="D21" s="408"/>
      <c r="E21" s="408"/>
      <c r="L21" s="120" t="s">
        <v>7</v>
      </c>
      <c r="M21" s="179">
        <f>$N$8</f>
        <v>0</v>
      </c>
      <c r="N21" s="179">
        <f>$Q$8</f>
        <v>0</v>
      </c>
      <c r="O21" s="179">
        <f>$AB$8</f>
        <v>0</v>
      </c>
      <c r="P21" s="179"/>
      <c r="Q21" s="179">
        <f>$AC$8*100</f>
        <v>0</v>
      </c>
      <c r="R21" s="298">
        <f>$AE$8</f>
        <v>12.5</v>
      </c>
      <c r="S21" s="408"/>
      <c r="T21" s="408"/>
      <c r="U21" s="408"/>
    </row>
    <row r="22" spans="3:23" x14ac:dyDescent="0.6">
      <c r="C22" s="408"/>
      <c r="D22" s="408"/>
      <c r="E22" s="408"/>
      <c r="L22" s="120" t="s">
        <v>8</v>
      </c>
      <c r="M22" s="179">
        <f>$N$9</f>
        <v>0</v>
      </c>
      <c r="N22" s="179">
        <f>$Q$9</f>
        <v>0</v>
      </c>
      <c r="O22" s="179">
        <f>$AB$9</f>
        <v>0</v>
      </c>
      <c r="P22" s="179"/>
      <c r="Q22" s="179">
        <f>$AC$9*100</f>
        <v>0</v>
      </c>
      <c r="R22" s="298">
        <f>$AE$9</f>
        <v>12.5</v>
      </c>
      <c r="S22" s="408"/>
      <c r="T22" s="408"/>
      <c r="U22" s="408"/>
    </row>
    <row r="23" spans="3:23" x14ac:dyDescent="0.6">
      <c r="C23" s="408"/>
      <c r="D23" s="408"/>
      <c r="E23" s="408"/>
      <c r="S23" s="408"/>
      <c r="T23" s="408"/>
      <c r="U23" s="408"/>
    </row>
    <row r="24" spans="3:23" x14ac:dyDescent="0.6">
      <c r="C24" s="408"/>
      <c r="D24" s="408"/>
      <c r="E24" s="408"/>
      <c r="S24" s="408"/>
      <c r="T24" s="408"/>
      <c r="U24" s="408"/>
    </row>
    <row r="25" spans="3:23" x14ac:dyDescent="0.6">
      <c r="C25" s="408"/>
      <c r="D25" s="408"/>
      <c r="E25" s="408"/>
      <c r="S25" s="408"/>
      <c r="T25" s="408"/>
      <c r="U25" s="408"/>
    </row>
    <row r="26" spans="3:23" x14ac:dyDescent="0.6">
      <c r="C26" s="408"/>
      <c r="D26" s="408"/>
      <c r="E26" s="408"/>
      <c r="S26" s="408"/>
      <c r="T26" s="408"/>
      <c r="U26" s="408"/>
    </row>
    <row r="27" spans="3:23" x14ac:dyDescent="0.6">
      <c r="C27" s="408"/>
      <c r="D27" s="408"/>
      <c r="E27" s="408"/>
      <c r="S27" s="408"/>
      <c r="T27" s="408"/>
      <c r="U27" s="408"/>
    </row>
    <row r="28" spans="3:23" x14ac:dyDescent="0.6">
      <c r="S28" s="408"/>
      <c r="T28" s="408"/>
      <c r="U28" s="408"/>
    </row>
    <row r="29" spans="3:23" x14ac:dyDescent="0.6">
      <c r="S29" s="408"/>
      <c r="T29" s="408"/>
      <c r="U29" s="408"/>
    </row>
    <row r="30" spans="3:23" x14ac:dyDescent="0.6">
      <c r="S30" s="417"/>
      <c r="T30" s="408"/>
      <c r="U30" s="408"/>
    </row>
    <row r="31" spans="3:23" ht="14.25" customHeight="1" x14ac:dyDescent="0.6">
      <c r="P31" s="211"/>
      <c r="S31" s="408"/>
      <c r="T31" s="408"/>
      <c r="U31" s="408"/>
    </row>
    <row r="32" spans="3:23" x14ac:dyDescent="0.6">
      <c r="P32" s="211"/>
      <c r="S32" s="408"/>
      <c r="T32" s="408"/>
      <c r="U32" s="408"/>
    </row>
    <row r="33" spans="3:21" ht="27.75" customHeight="1" x14ac:dyDescent="0.6">
      <c r="H33" s="212"/>
      <c r="I33" s="212"/>
      <c r="J33" s="212"/>
      <c r="K33" s="212"/>
      <c r="L33" s="212"/>
      <c r="M33" s="212"/>
      <c r="N33" s="212"/>
      <c r="O33" s="212"/>
      <c r="P33" s="212"/>
      <c r="Q33" s="212"/>
      <c r="S33" s="408"/>
      <c r="T33" s="408"/>
      <c r="U33" s="408"/>
    </row>
    <row r="34" spans="3:21" ht="15.75" customHeight="1" x14ac:dyDescent="0.6">
      <c r="C34" s="601" t="s">
        <v>115</v>
      </c>
      <c r="D34" s="602"/>
      <c r="E34" s="603"/>
      <c r="G34" s="629" t="s">
        <v>113</v>
      </c>
      <c r="H34" s="630"/>
      <c r="I34" s="630"/>
      <c r="J34" s="630"/>
      <c r="K34" s="630"/>
      <c r="L34" s="630"/>
      <c r="M34" s="630"/>
      <c r="N34" s="630"/>
      <c r="O34" s="630"/>
      <c r="P34" s="630"/>
      <c r="Q34" s="631"/>
      <c r="S34" s="408"/>
      <c r="T34" s="408"/>
      <c r="U34" s="408"/>
    </row>
    <row r="35" spans="3:21" ht="6" customHeight="1" x14ac:dyDescent="0.6">
      <c r="C35" s="604"/>
      <c r="D35" s="605"/>
      <c r="E35" s="606"/>
      <c r="G35" s="418"/>
      <c r="H35" s="418"/>
      <c r="I35" s="418"/>
      <c r="J35" s="418"/>
      <c r="K35" s="418"/>
      <c r="L35" s="418"/>
      <c r="M35" s="418"/>
      <c r="N35" s="418"/>
      <c r="O35" s="418"/>
      <c r="P35" s="418"/>
      <c r="Q35" s="418"/>
      <c r="S35" s="408"/>
      <c r="T35" s="408"/>
      <c r="U35" s="408"/>
    </row>
    <row r="36" spans="3:21" ht="47.25" customHeight="1" x14ac:dyDescent="0.6">
      <c r="C36" s="604"/>
      <c r="D36" s="605"/>
      <c r="E36" s="606"/>
      <c r="G36" s="610" t="str">
        <f>Hilfstabelle!F34</f>
        <v/>
      </c>
      <c r="H36" s="611"/>
      <c r="I36" s="611"/>
      <c r="J36" s="611"/>
      <c r="K36" s="611"/>
      <c r="L36" s="611"/>
      <c r="M36" s="611"/>
      <c r="N36" s="611"/>
      <c r="O36" s="611"/>
      <c r="P36" s="611"/>
      <c r="Q36" s="611"/>
    </row>
    <row r="37" spans="3:21" x14ac:dyDescent="0.6">
      <c r="C37" s="604"/>
      <c r="D37" s="605"/>
      <c r="E37" s="606"/>
      <c r="G37" s="611"/>
      <c r="H37" s="611"/>
      <c r="I37" s="611"/>
      <c r="J37" s="611"/>
      <c r="K37" s="611"/>
      <c r="L37" s="611"/>
      <c r="M37" s="611"/>
      <c r="N37" s="611"/>
      <c r="O37" s="611"/>
      <c r="P37" s="611"/>
      <c r="Q37" s="611"/>
    </row>
    <row r="38" spans="3:21" x14ac:dyDescent="0.6">
      <c r="C38" s="604"/>
      <c r="D38" s="605"/>
      <c r="E38" s="606"/>
      <c r="G38" s="611"/>
      <c r="H38" s="611"/>
      <c r="I38" s="611"/>
      <c r="J38" s="611"/>
      <c r="K38" s="611"/>
      <c r="L38" s="611"/>
      <c r="M38" s="611"/>
      <c r="N38" s="611"/>
      <c r="O38" s="611"/>
      <c r="P38" s="611"/>
      <c r="Q38" s="611"/>
    </row>
    <row r="39" spans="3:21" x14ac:dyDescent="0.6">
      <c r="C39" s="604"/>
      <c r="D39" s="605"/>
      <c r="E39" s="606"/>
      <c r="G39" s="611"/>
      <c r="H39" s="611"/>
      <c r="I39" s="611"/>
      <c r="J39" s="611"/>
      <c r="K39" s="611"/>
      <c r="L39" s="611"/>
      <c r="M39" s="611"/>
      <c r="N39" s="611"/>
      <c r="O39" s="611"/>
      <c r="P39" s="611"/>
      <c r="Q39" s="611"/>
    </row>
    <row r="40" spans="3:21" x14ac:dyDescent="0.6">
      <c r="C40" s="607"/>
      <c r="D40" s="608"/>
      <c r="E40" s="609"/>
      <c r="G40" s="611"/>
      <c r="H40" s="611"/>
      <c r="I40" s="611"/>
      <c r="J40" s="611"/>
      <c r="K40" s="611"/>
      <c r="L40" s="611"/>
      <c r="M40" s="611"/>
      <c r="N40" s="611"/>
      <c r="O40" s="611"/>
      <c r="P40" s="611"/>
      <c r="Q40" s="611"/>
    </row>
    <row r="41" spans="3:21" x14ac:dyDescent="0.6">
      <c r="G41" s="611"/>
      <c r="H41" s="611"/>
      <c r="I41" s="611"/>
      <c r="J41" s="611"/>
      <c r="K41" s="611"/>
      <c r="L41" s="611"/>
      <c r="M41" s="611"/>
      <c r="N41" s="611"/>
      <c r="O41" s="611"/>
      <c r="P41" s="611"/>
      <c r="Q41" s="611"/>
    </row>
    <row r="42" spans="3:21" x14ac:dyDescent="0.6">
      <c r="G42" s="611"/>
      <c r="H42" s="611"/>
      <c r="I42" s="611"/>
      <c r="J42" s="611"/>
      <c r="K42" s="611"/>
      <c r="L42" s="611"/>
      <c r="M42" s="611"/>
      <c r="N42" s="611"/>
      <c r="O42" s="611"/>
      <c r="P42" s="611"/>
      <c r="Q42" s="611"/>
    </row>
    <row r="43" spans="3:21" x14ac:dyDescent="0.6">
      <c r="G43" s="611"/>
      <c r="H43" s="611"/>
      <c r="I43" s="611"/>
      <c r="J43" s="611"/>
      <c r="K43" s="611"/>
      <c r="L43" s="611"/>
      <c r="M43" s="611"/>
      <c r="N43" s="611"/>
      <c r="O43" s="611"/>
      <c r="P43" s="611"/>
      <c r="Q43" s="611"/>
    </row>
    <row r="44" spans="3:21" x14ac:dyDescent="0.6">
      <c r="G44" s="611"/>
      <c r="H44" s="611"/>
      <c r="I44" s="611"/>
      <c r="J44" s="611"/>
      <c r="K44" s="611"/>
      <c r="L44" s="611"/>
      <c r="M44" s="611"/>
      <c r="N44" s="611"/>
      <c r="O44" s="611"/>
      <c r="P44" s="611"/>
      <c r="Q44" s="611"/>
    </row>
    <row r="45" spans="3:21" x14ac:dyDescent="0.6">
      <c r="G45" s="611"/>
      <c r="H45" s="611"/>
      <c r="I45" s="611"/>
      <c r="J45" s="611"/>
      <c r="K45" s="611"/>
      <c r="L45" s="611"/>
      <c r="M45" s="611"/>
      <c r="N45" s="611"/>
      <c r="O45" s="611"/>
      <c r="P45" s="611"/>
      <c r="Q45" s="611"/>
    </row>
    <row r="46" spans="3:21" x14ac:dyDescent="0.6">
      <c r="G46" s="611"/>
      <c r="H46" s="611"/>
      <c r="I46" s="611"/>
      <c r="J46" s="611"/>
      <c r="K46" s="611"/>
      <c r="L46" s="611"/>
      <c r="M46" s="611"/>
      <c r="N46" s="611"/>
      <c r="O46" s="611"/>
      <c r="P46" s="611"/>
      <c r="Q46" s="611"/>
    </row>
    <row r="47" spans="3:21" x14ac:dyDescent="0.6">
      <c r="G47" s="212"/>
      <c r="H47" s="212"/>
      <c r="I47" s="212"/>
      <c r="J47" s="212"/>
      <c r="K47" s="212"/>
      <c r="L47" s="212"/>
      <c r="M47" s="212"/>
      <c r="N47" s="212"/>
      <c r="O47" s="212"/>
      <c r="P47" s="212"/>
      <c r="Q47" s="212"/>
    </row>
    <row r="48" spans="3:21" x14ac:dyDescent="0.6">
      <c r="G48" s="212"/>
      <c r="H48" s="212"/>
      <c r="I48" s="212"/>
      <c r="J48" s="212"/>
      <c r="K48" s="212"/>
      <c r="L48" s="212"/>
      <c r="M48" s="212"/>
      <c r="N48" s="212"/>
      <c r="O48" s="212"/>
      <c r="P48" s="212"/>
      <c r="Q48" s="212"/>
    </row>
    <row r="49" spans="7:17" x14ac:dyDescent="0.6">
      <c r="G49" s="212"/>
      <c r="H49" s="212"/>
      <c r="I49" s="212"/>
      <c r="J49" s="212"/>
      <c r="K49" s="212"/>
      <c r="L49" s="212"/>
      <c r="M49" s="212"/>
      <c r="N49" s="212"/>
      <c r="O49" s="212"/>
      <c r="P49" s="212"/>
      <c r="Q49" s="212"/>
    </row>
    <row r="50" spans="7:17" x14ac:dyDescent="0.6">
      <c r="G50" s="212"/>
      <c r="H50" s="212"/>
      <c r="I50" s="212"/>
      <c r="J50" s="212"/>
      <c r="K50" s="212"/>
      <c r="L50" s="212"/>
      <c r="M50" s="212"/>
      <c r="N50" s="212"/>
      <c r="O50" s="212"/>
      <c r="P50" s="212"/>
      <c r="Q50" s="212"/>
    </row>
  </sheetData>
  <sheetProtection password="C570" sheet="1" objects="1" scenarios="1" selectLockedCells="1"/>
  <mergeCells count="28">
    <mergeCell ref="C34:E40"/>
    <mergeCell ref="G36:Q46"/>
    <mergeCell ref="L15:O15"/>
    <mergeCell ref="AA3:AB3"/>
    <mergeCell ref="AD3:AE3"/>
    <mergeCell ref="N4:O4"/>
    <mergeCell ref="N5:O5"/>
    <mergeCell ref="P7:P9"/>
    <mergeCell ref="N9:O9"/>
    <mergeCell ref="N10:O10"/>
    <mergeCell ref="G7:G9"/>
    <mergeCell ref="L11:O11"/>
    <mergeCell ref="N8:O8"/>
    <mergeCell ref="N7:O7"/>
    <mergeCell ref="G17:Q17"/>
    <mergeCell ref="G34:Q34"/>
    <mergeCell ref="C9:E10"/>
    <mergeCell ref="C8:D8"/>
    <mergeCell ref="C7:E7"/>
    <mergeCell ref="L13:O13"/>
    <mergeCell ref="C12:E15"/>
    <mergeCell ref="L2:M2"/>
    <mergeCell ref="C3:E5"/>
    <mergeCell ref="N3:Q3"/>
    <mergeCell ref="C6:E6"/>
    <mergeCell ref="N6:O6"/>
    <mergeCell ref="P5:P6"/>
    <mergeCell ref="G5:G6"/>
  </mergeCells>
  <phoneticPr fontId="32" type="noConversion"/>
  <pageMargins left="0.70866141732283472" right="0.70866141732283472" top="0.59055118110236227" bottom="0.39370078740157483" header="0.31496062992125984" footer="0.31496062992125984"/>
  <pageSetup paperSize="9" scale="89" fitToHeight="0" orientation="portrait" r:id="rId1"/>
  <ignoredErrors>
    <ignoredError sqref="M8:M9" unlockedFormula="1"/>
    <ignoredError sqref="AE11"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Klassenübersicht!$B$24:$B$51</xm:f>
          </x14:formula1>
          <xm:sqref>E8</xm:sqref>
        </x14:dataValidation>
      </x14:dataValidations>
    </ex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V40"/>
  <sheetViews>
    <sheetView zoomScale="75" zoomScaleNormal="75" workbookViewId="0">
      <selection activeCell="F34" sqref="F34"/>
    </sheetView>
  </sheetViews>
  <sheetFormatPr defaultColWidth="10.796875" defaultRowHeight="15.6" x14ac:dyDescent="0.6"/>
  <cols>
    <col min="3" max="3" width="24.25" customWidth="1"/>
    <col min="6" max="6" width="60.09765625" customWidth="1"/>
    <col min="7" max="7" width="12.59765625" bestFit="1" customWidth="1"/>
    <col min="8" max="8" width="14.34765625" bestFit="1" customWidth="1"/>
    <col min="9" max="9" width="25.75" customWidth="1"/>
    <col min="10" max="10" width="13.09765625" bestFit="1" customWidth="1"/>
    <col min="11" max="11" width="18.5" bestFit="1" customWidth="1"/>
    <col min="14" max="14" width="16.75" customWidth="1"/>
    <col min="15" max="15" width="48.5" customWidth="1"/>
  </cols>
  <sheetData>
    <row r="1" spans="1:22" x14ac:dyDescent="0.6">
      <c r="A1" s="117"/>
      <c r="B1" s="117"/>
      <c r="C1" s="117"/>
      <c r="D1" s="117"/>
      <c r="E1" s="117"/>
      <c r="F1" s="117"/>
      <c r="G1" s="117"/>
      <c r="H1" s="117"/>
      <c r="I1" s="117"/>
      <c r="J1" s="364"/>
      <c r="K1" s="117"/>
      <c r="L1" s="117"/>
      <c r="M1" s="117"/>
      <c r="N1" s="117"/>
      <c r="O1" s="117"/>
      <c r="P1" s="117"/>
      <c r="Q1" s="117"/>
      <c r="R1" s="117"/>
      <c r="S1" s="117"/>
      <c r="T1" s="117"/>
      <c r="U1" s="117"/>
      <c r="V1" s="117"/>
    </row>
    <row r="2" spans="1:22" x14ac:dyDescent="0.6">
      <c r="A2" s="117"/>
      <c r="B2" s="117"/>
      <c r="C2" s="117"/>
      <c r="D2" s="117"/>
      <c r="E2" s="117"/>
      <c r="F2" s="117"/>
      <c r="G2" s="117"/>
      <c r="H2" s="117"/>
      <c r="I2" s="117"/>
      <c r="J2" s="364"/>
      <c r="K2" s="117"/>
      <c r="L2" s="117"/>
      <c r="M2" s="117"/>
      <c r="N2" s="117"/>
      <c r="O2" s="117"/>
      <c r="P2" s="117"/>
      <c r="Q2" s="117"/>
      <c r="R2" s="117"/>
      <c r="S2" s="117"/>
      <c r="T2" s="117"/>
      <c r="U2" s="117"/>
      <c r="V2" s="117"/>
    </row>
    <row r="3" spans="1:22" x14ac:dyDescent="0.6">
      <c r="A3" s="117"/>
      <c r="B3" s="414"/>
      <c r="C3" s="414"/>
      <c r="D3" s="414"/>
      <c r="E3" s="414"/>
      <c r="F3" s="414"/>
      <c r="G3" s="414"/>
      <c r="H3" s="414"/>
      <c r="I3" s="414"/>
      <c r="J3" s="126"/>
      <c r="K3" s="126"/>
      <c r="L3" s="126"/>
      <c r="M3" s="126"/>
      <c r="N3" s="126">
        <f>Einzel!P12</f>
        <v>0</v>
      </c>
      <c r="O3" s="117"/>
      <c r="P3" s="117"/>
      <c r="Q3" s="117"/>
      <c r="R3" s="117"/>
      <c r="S3" s="117"/>
      <c r="T3" s="117"/>
      <c r="U3" s="117"/>
      <c r="V3" s="117"/>
    </row>
    <row r="4" spans="1:22" x14ac:dyDescent="0.6">
      <c r="A4" s="117"/>
      <c r="B4" s="414" t="s">
        <v>89</v>
      </c>
      <c r="C4" s="414" t="s">
        <v>18</v>
      </c>
      <c r="D4" s="414" t="s">
        <v>106</v>
      </c>
      <c r="E4" s="414" t="s">
        <v>105</v>
      </c>
      <c r="F4" s="414" t="s">
        <v>112</v>
      </c>
      <c r="G4" s="414" t="s">
        <v>90</v>
      </c>
      <c r="H4" s="414" t="s">
        <v>91</v>
      </c>
      <c r="I4" s="414" t="s">
        <v>92</v>
      </c>
      <c r="J4" s="126"/>
      <c r="K4" s="422" t="s">
        <v>93</v>
      </c>
      <c r="L4" s="126" t="s">
        <v>98</v>
      </c>
      <c r="M4" s="126"/>
      <c r="N4" s="415" t="str">
        <f>IF(Einzel!P12=1,"Sehr gut",IF(Einzel!P12=2,"Gut",IF(Einzel!P12=3,"Befriedigend",IF(Einzel!P12=4,"Genügend",IF(Einzel!P12=5,"Nicht genügend","")))))</f>
        <v/>
      </c>
      <c r="O4" s="117"/>
      <c r="P4" s="117"/>
      <c r="Q4" s="117"/>
      <c r="R4" s="117"/>
      <c r="S4" s="117"/>
      <c r="T4" s="117"/>
      <c r="U4" s="117"/>
      <c r="V4" s="117"/>
    </row>
    <row r="5" spans="1:22" x14ac:dyDescent="0.6">
      <c r="A5" s="117"/>
      <c r="B5" s="414">
        <v>1</v>
      </c>
      <c r="C5" s="414">
        <f>Klassenübersicht!C24</f>
        <v>0</v>
      </c>
      <c r="D5" s="414" t="str">
        <f>Klassenübersicht!Y24</f>
        <v/>
      </c>
      <c r="E5" s="425">
        <f>Klassenübersicht!Z24</f>
        <v>0</v>
      </c>
      <c r="F5" s="426">
        <f>Begründungen!D4</f>
        <v>0</v>
      </c>
      <c r="G5" s="414">
        <f>COUNTA(Klassenübersicht!C24:C51)</f>
        <v>0</v>
      </c>
      <c r="H5" s="414">
        <f>Einzel!E8</f>
        <v>28</v>
      </c>
      <c r="I5" s="414">
        <f>H5+22</f>
        <v>50</v>
      </c>
      <c r="J5" s="126"/>
      <c r="K5" s="126" t="str">
        <f>"E"&amp;$I$5</f>
        <v>E50</v>
      </c>
      <c r="L5" s="126">
        <f>IF(VLOOKUP($H$5,Klassenübersicht!$B$24:$S$51,4,FALSE)="",0,VLOOKUP($H$5,Klassenübersicht!$B$24:$S$51,4,FALSE))</f>
        <v>0</v>
      </c>
      <c r="M5" s="126"/>
      <c r="N5" s="416"/>
      <c r="P5" s="117"/>
      <c r="Q5" s="117"/>
      <c r="R5" s="117"/>
      <c r="S5" s="117"/>
      <c r="T5" s="117"/>
      <c r="U5" s="117"/>
      <c r="V5" s="117"/>
    </row>
    <row r="6" spans="1:22" ht="15" customHeight="1" x14ac:dyDescent="0.6">
      <c r="A6" s="117"/>
      <c r="B6" s="414">
        <v>2</v>
      </c>
      <c r="C6" s="414">
        <f>Klassenübersicht!C25</f>
        <v>0</v>
      </c>
      <c r="D6" s="414" t="str">
        <f>Klassenübersicht!Y25</f>
        <v/>
      </c>
      <c r="E6" s="425">
        <f>Klassenübersicht!Z25</f>
        <v>0</v>
      </c>
      <c r="F6" s="426">
        <f>Begründungen!D5</f>
        <v>0</v>
      </c>
      <c r="G6" s="414"/>
      <c r="H6" s="414"/>
      <c r="I6" s="414"/>
      <c r="J6" s="126"/>
      <c r="K6" s="126"/>
      <c r="L6" s="423"/>
      <c r="M6" s="126"/>
      <c r="N6" s="416"/>
      <c r="O6" s="117"/>
      <c r="P6" s="117"/>
      <c r="Q6" s="117"/>
      <c r="R6" s="117"/>
      <c r="S6" s="117"/>
      <c r="T6" s="117"/>
      <c r="U6" s="117"/>
      <c r="V6" s="117"/>
    </row>
    <row r="7" spans="1:22" ht="15" customHeight="1" x14ac:dyDescent="0.6">
      <c r="A7" s="117"/>
      <c r="B7" s="414">
        <v>3</v>
      </c>
      <c r="C7" s="414">
        <f>Klassenübersicht!C26</f>
        <v>0</v>
      </c>
      <c r="D7" s="414" t="str">
        <f>Klassenübersicht!Y26</f>
        <v/>
      </c>
      <c r="E7" s="425">
        <f>Klassenübersicht!Z26</f>
        <v>0</v>
      </c>
      <c r="F7" s="426">
        <f>Begründungen!D6</f>
        <v>0</v>
      </c>
      <c r="G7" s="414"/>
      <c r="H7" s="414"/>
      <c r="I7" s="414"/>
      <c r="J7" s="126"/>
      <c r="K7" s="422" t="s">
        <v>94</v>
      </c>
      <c r="L7" s="423"/>
      <c r="M7" s="126"/>
      <c r="N7" s="416"/>
      <c r="O7" s="117"/>
      <c r="P7" s="117"/>
      <c r="Q7" s="117"/>
      <c r="R7" s="117"/>
      <c r="S7" s="117"/>
      <c r="T7" s="117"/>
      <c r="U7" s="117"/>
      <c r="V7" s="117"/>
    </row>
    <row r="8" spans="1:22" ht="15" customHeight="1" x14ac:dyDescent="0.6">
      <c r="A8" s="117"/>
      <c r="B8" s="414">
        <v>4</v>
      </c>
      <c r="C8" s="414">
        <f>Klassenübersicht!C27</f>
        <v>0</v>
      </c>
      <c r="D8" s="414" t="str">
        <f>Klassenübersicht!Y27</f>
        <v/>
      </c>
      <c r="E8" s="425">
        <f>Klassenübersicht!Z27</f>
        <v>0</v>
      </c>
      <c r="F8" s="426">
        <f>Begründungen!D7</f>
        <v>0</v>
      </c>
      <c r="G8" s="414"/>
      <c r="H8" s="414"/>
      <c r="I8" s="414"/>
      <c r="J8" s="126"/>
      <c r="K8" s="126" t="str">
        <f>"F"&amp;$I$5</f>
        <v>F50</v>
      </c>
      <c r="L8" s="126">
        <f>IF(VLOOKUP($H$5,Klassenübersicht!$B$24:$S$51,5,FALSE)="",0,VLOOKUP($H$5,Klassenübersicht!$B$24:$S$51,5,FALSE))</f>
        <v>0</v>
      </c>
      <c r="M8" s="126"/>
      <c r="N8" s="416"/>
      <c r="O8" s="117"/>
      <c r="P8" s="117"/>
      <c r="Q8" s="117"/>
      <c r="R8" s="117"/>
      <c r="S8" s="117"/>
      <c r="T8" s="117"/>
      <c r="U8" s="117"/>
      <c r="V8" s="117"/>
    </row>
    <row r="9" spans="1:22" ht="15" customHeight="1" x14ac:dyDescent="0.6">
      <c r="A9" s="117"/>
      <c r="B9" s="414">
        <v>5</v>
      </c>
      <c r="C9" s="414">
        <f>Klassenübersicht!C28</f>
        <v>0</v>
      </c>
      <c r="D9" s="414" t="str">
        <f>Klassenübersicht!Y28</f>
        <v/>
      </c>
      <c r="E9" s="425">
        <f>Klassenübersicht!Z28</f>
        <v>0</v>
      </c>
      <c r="F9" s="426">
        <f>Begründungen!D8</f>
        <v>0</v>
      </c>
      <c r="G9" s="414"/>
      <c r="H9" s="414"/>
      <c r="I9" s="414"/>
      <c r="J9" s="126"/>
      <c r="K9" s="126"/>
      <c r="L9" s="423"/>
      <c r="M9" s="126"/>
      <c r="N9" s="416"/>
      <c r="O9" s="117"/>
      <c r="P9" s="117"/>
      <c r="Q9" s="117"/>
      <c r="R9" s="117"/>
      <c r="S9" s="117"/>
      <c r="T9" s="117"/>
      <c r="U9" s="117"/>
      <c r="V9" s="117"/>
    </row>
    <row r="10" spans="1:22" ht="15" customHeight="1" x14ac:dyDescent="0.6">
      <c r="A10" s="117"/>
      <c r="B10" s="414">
        <v>6</v>
      </c>
      <c r="C10" s="414">
        <f>Klassenübersicht!C29</f>
        <v>0</v>
      </c>
      <c r="D10" s="414" t="str">
        <f>Klassenübersicht!Y29</f>
        <v/>
      </c>
      <c r="E10" s="425">
        <f>Klassenübersicht!Z29</f>
        <v>0</v>
      </c>
      <c r="F10" s="426">
        <f>Begründungen!D9</f>
        <v>0</v>
      </c>
      <c r="G10" s="414"/>
      <c r="H10" s="414"/>
      <c r="I10" s="414"/>
      <c r="J10" s="126"/>
      <c r="K10" s="422" t="s">
        <v>95</v>
      </c>
      <c r="L10" s="423"/>
      <c r="M10" s="126"/>
      <c r="N10" s="416"/>
      <c r="O10" s="117"/>
      <c r="P10" s="117"/>
      <c r="Q10" s="117"/>
      <c r="R10" s="117"/>
      <c r="S10" s="117"/>
      <c r="T10" s="117"/>
      <c r="U10" s="117"/>
      <c r="V10" s="117"/>
    </row>
    <row r="11" spans="1:22" ht="15" customHeight="1" x14ac:dyDescent="0.6">
      <c r="A11" s="117"/>
      <c r="B11" s="414">
        <v>7</v>
      </c>
      <c r="C11" s="414">
        <f>Klassenübersicht!C30</f>
        <v>0</v>
      </c>
      <c r="D11" s="414" t="str">
        <f>Klassenübersicht!Y30</f>
        <v/>
      </c>
      <c r="E11" s="425">
        <f>Klassenübersicht!Z30</f>
        <v>0</v>
      </c>
      <c r="F11" s="426">
        <f>Begründungen!D10</f>
        <v>0</v>
      </c>
      <c r="G11" s="414"/>
      <c r="H11" s="414"/>
      <c r="I11" s="414"/>
      <c r="J11" s="126"/>
      <c r="K11" s="126" t="str">
        <f>"I"&amp;$I$5</f>
        <v>I50</v>
      </c>
      <c r="L11" s="126">
        <f>IF(VLOOKUP($H$5,Klassenübersicht!$B$24:$S$51,8,FALSE)="",0,VLOOKUP($H$5,Klassenübersicht!$B$24:$S$51,8,FALSE))</f>
        <v>0</v>
      </c>
      <c r="M11" s="126"/>
      <c r="N11" s="416"/>
      <c r="O11" s="117"/>
      <c r="P11" s="117"/>
      <c r="Q11" s="117"/>
      <c r="R11" s="117"/>
      <c r="S11" s="117"/>
      <c r="T11" s="117"/>
      <c r="U11" s="117"/>
      <c r="V11" s="117"/>
    </row>
    <row r="12" spans="1:22" ht="15" customHeight="1" x14ac:dyDescent="0.6">
      <c r="A12" s="117"/>
      <c r="B12" s="414">
        <v>8</v>
      </c>
      <c r="C12" s="414">
        <f>Klassenübersicht!C31</f>
        <v>0</v>
      </c>
      <c r="D12" s="414" t="str">
        <f>Klassenübersicht!Y31</f>
        <v/>
      </c>
      <c r="E12" s="425">
        <f>Klassenübersicht!Z31</f>
        <v>0</v>
      </c>
      <c r="F12" s="426">
        <f>Begründungen!D11</f>
        <v>0</v>
      </c>
      <c r="G12" s="414"/>
      <c r="H12" s="414"/>
      <c r="I12" s="414"/>
      <c r="J12" s="126"/>
      <c r="K12" s="126"/>
      <c r="L12" s="423"/>
      <c r="M12" s="126"/>
      <c r="N12" s="414"/>
      <c r="O12" s="117"/>
      <c r="P12" s="117"/>
      <c r="Q12" s="117"/>
      <c r="R12" s="117"/>
      <c r="S12" s="117"/>
      <c r="T12" s="117"/>
      <c r="U12" s="117"/>
      <c r="V12" s="117"/>
    </row>
    <row r="13" spans="1:22" ht="15" customHeight="1" x14ac:dyDescent="0.6">
      <c r="A13" s="117"/>
      <c r="B13" s="414">
        <v>9</v>
      </c>
      <c r="C13" s="414">
        <f>Klassenübersicht!C32</f>
        <v>0</v>
      </c>
      <c r="D13" s="414" t="str">
        <f>Klassenübersicht!Y32</f>
        <v/>
      </c>
      <c r="E13" s="425">
        <f>Klassenübersicht!Z32</f>
        <v>0</v>
      </c>
      <c r="F13" s="426">
        <f>Begründungen!D12</f>
        <v>0</v>
      </c>
      <c r="G13" s="414"/>
      <c r="H13" s="414"/>
      <c r="I13" s="414"/>
      <c r="J13" s="126"/>
      <c r="K13" s="422" t="s">
        <v>96</v>
      </c>
      <c r="L13" s="423"/>
      <c r="M13" s="126"/>
      <c r="N13" s="414"/>
      <c r="O13" s="117"/>
      <c r="P13" s="117"/>
      <c r="Q13" s="117"/>
      <c r="R13" s="117"/>
      <c r="S13" s="117"/>
      <c r="T13" s="117"/>
      <c r="U13" s="117"/>
      <c r="V13" s="117"/>
    </row>
    <row r="14" spans="1:22" ht="15" customHeight="1" x14ac:dyDescent="0.6">
      <c r="A14" s="117"/>
      <c r="B14" s="414">
        <v>10</v>
      </c>
      <c r="C14" s="414">
        <f>Klassenübersicht!C33</f>
        <v>0</v>
      </c>
      <c r="D14" s="414" t="str">
        <f>Klassenübersicht!Y33</f>
        <v/>
      </c>
      <c r="E14" s="425">
        <f>Klassenübersicht!Z33</f>
        <v>0</v>
      </c>
      <c r="F14" s="426">
        <f>Begründungen!D13</f>
        <v>0</v>
      </c>
      <c r="G14" s="414"/>
      <c r="H14" s="414"/>
      <c r="I14" s="414"/>
      <c r="J14" s="126"/>
      <c r="K14" s="126" t="str">
        <f>"N"&amp;$I$5</f>
        <v>N50</v>
      </c>
      <c r="L14" s="126">
        <f>IF(VLOOKUP($H$5,Klassenübersicht!$B$24:$S$51,13,FALSE)="",0,VLOOKUP($H$5,Klassenübersicht!$B$24:$S$51,13,FALSE))</f>
        <v>0</v>
      </c>
      <c r="M14" s="126"/>
      <c r="N14" s="414"/>
      <c r="O14" s="117"/>
      <c r="P14" s="117"/>
      <c r="Q14" s="117"/>
      <c r="R14" s="117"/>
      <c r="S14" s="117"/>
      <c r="T14" s="117"/>
      <c r="U14" s="117"/>
      <c r="V14" s="117"/>
    </row>
    <row r="15" spans="1:22" ht="15" customHeight="1" x14ac:dyDescent="0.6">
      <c r="A15" s="117"/>
      <c r="B15" s="414">
        <v>11</v>
      </c>
      <c r="C15" s="414">
        <f>Klassenübersicht!C34</f>
        <v>0</v>
      </c>
      <c r="D15" s="414" t="str">
        <f>Klassenübersicht!Y34</f>
        <v/>
      </c>
      <c r="E15" s="425">
        <f>Klassenübersicht!Z34</f>
        <v>0</v>
      </c>
      <c r="F15" s="426">
        <f>Begründungen!D14</f>
        <v>0</v>
      </c>
      <c r="G15" s="414"/>
      <c r="H15" s="414"/>
      <c r="I15" s="414"/>
      <c r="J15" s="126"/>
      <c r="K15" s="126"/>
      <c r="L15" s="423"/>
      <c r="M15" s="126"/>
      <c r="N15" s="414"/>
      <c r="O15" s="117"/>
      <c r="P15" s="117"/>
      <c r="Q15" s="117"/>
      <c r="R15" s="117"/>
      <c r="S15" s="117"/>
      <c r="T15" s="117"/>
      <c r="U15" s="117"/>
      <c r="V15" s="117"/>
    </row>
    <row r="16" spans="1:22" ht="15" customHeight="1" x14ac:dyDescent="0.6">
      <c r="A16" s="117"/>
      <c r="B16" s="414">
        <v>12</v>
      </c>
      <c r="C16" s="414">
        <f>Klassenübersicht!C35</f>
        <v>0</v>
      </c>
      <c r="D16" s="414" t="str">
        <f>Klassenübersicht!Y35</f>
        <v/>
      </c>
      <c r="E16" s="425">
        <f>Klassenübersicht!Z35</f>
        <v>0</v>
      </c>
      <c r="F16" s="426">
        <f>Begründungen!D15</f>
        <v>0</v>
      </c>
      <c r="G16" s="414"/>
      <c r="H16" s="414"/>
      <c r="I16" s="414"/>
      <c r="J16" s="126"/>
      <c r="K16" s="422" t="s">
        <v>97</v>
      </c>
      <c r="L16" s="423"/>
      <c r="M16" s="126"/>
      <c r="N16" s="414"/>
      <c r="O16" s="117"/>
      <c r="P16" s="117"/>
      <c r="Q16" s="117"/>
      <c r="R16" s="117"/>
      <c r="S16" s="117"/>
      <c r="T16" s="117"/>
      <c r="U16" s="117"/>
      <c r="V16" s="117"/>
    </row>
    <row r="17" spans="1:22" ht="15" customHeight="1" x14ac:dyDescent="0.6">
      <c r="A17" s="117"/>
      <c r="B17" s="414">
        <v>13</v>
      </c>
      <c r="C17" s="414">
        <f>Klassenübersicht!C36</f>
        <v>0</v>
      </c>
      <c r="D17" s="414" t="str">
        <f>Klassenübersicht!Y36</f>
        <v/>
      </c>
      <c r="E17" s="425">
        <f>Klassenübersicht!Z36</f>
        <v>0</v>
      </c>
      <c r="F17" s="426">
        <f>Begründungen!D16</f>
        <v>0</v>
      </c>
      <c r="G17" s="414"/>
      <c r="H17" s="414"/>
      <c r="I17" s="414"/>
      <c r="J17" s="126"/>
      <c r="K17" s="126" t="str">
        <f>"S"&amp;$I$5</f>
        <v>S50</v>
      </c>
      <c r="L17" s="126">
        <f>IF(VLOOKUP($H$5,Klassenübersicht!$B$24:$S$51,18,FALSE)="",0,VLOOKUP($H$5,Klassenübersicht!$B$24:$S$51,18,FALSE))</f>
        <v>0</v>
      </c>
      <c r="M17" s="126"/>
      <c r="N17" s="414"/>
      <c r="O17" s="117"/>
      <c r="P17" s="117"/>
      <c r="Q17" s="117"/>
      <c r="R17" s="117"/>
      <c r="S17" s="117"/>
      <c r="T17" s="117"/>
      <c r="U17" s="117"/>
      <c r="V17" s="117"/>
    </row>
    <row r="18" spans="1:22" ht="15" customHeight="1" x14ac:dyDescent="0.6">
      <c r="A18" s="117"/>
      <c r="B18" s="414">
        <v>14</v>
      </c>
      <c r="C18" s="414">
        <f>Klassenübersicht!C37</f>
        <v>0</v>
      </c>
      <c r="D18" s="414" t="str">
        <f>Klassenübersicht!Y37</f>
        <v/>
      </c>
      <c r="E18" s="425">
        <f>Klassenübersicht!Z37</f>
        <v>0</v>
      </c>
      <c r="F18" s="426">
        <f>Begründungen!D17</f>
        <v>0</v>
      </c>
      <c r="G18" s="414"/>
      <c r="H18" s="414"/>
      <c r="I18" s="414"/>
      <c r="J18" s="126"/>
      <c r="K18" s="126"/>
      <c r="L18" s="126"/>
      <c r="M18" s="126"/>
      <c r="N18" s="414"/>
      <c r="O18" s="117"/>
      <c r="P18" s="117"/>
      <c r="Q18" s="117"/>
      <c r="R18" s="117"/>
      <c r="S18" s="117"/>
      <c r="T18" s="117"/>
      <c r="U18" s="117"/>
      <c r="V18" s="117"/>
    </row>
    <row r="19" spans="1:22" ht="15" customHeight="1" x14ac:dyDescent="0.6">
      <c r="A19" s="117"/>
      <c r="B19" s="414">
        <v>15</v>
      </c>
      <c r="C19" s="414">
        <f>Klassenübersicht!C38</f>
        <v>0</v>
      </c>
      <c r="D19" s="414" t="str">
        <f>Klassenübersicht!Y38</f>
        <v/>
      </c>
      <c r="E19" s="425">
        <f>Klassenübersicht!Z38</f>
        <v>0</v>
      </c>
      <c r="F19" s="426">
        <f>Begründungen!D18</f>
        <v>0</v>
      </c>
      <c r="G19" s="414"/>
      <c r="H19" s="414"/>
      <c r="I19" s="414"/>
      <c r="J19" s="126"/>
      <c r="K19" s="126"/>
      <c r="L19" s="126"/>
      <c r="M19" s="126"/>
      <c r="N19" s="414"/>
      <c r="O19" s="117"/>
      <c r="P19" s="117"/>
      <c r="Q19" s="117"/>
      <c r="R19" s="117"/>
      <c r="S19" s="117"/>
      <c r="T19" s="117"/>
      <c r="U19" s="117"/>
      <c r="V19" s="117"/>
    </row>
    <row r="20" spans="1:22" ht="15" customHeight="1" x14ac:dyDescent="0.6">
      <c r="A20" s="117"/>
      <c r="B20" s="414">
        <v>16</v>
      </c>
      <c r="C20" s="414">
        <f>Klassenübersicht!C39</f>
        <v>0</v>
      </c>
      <c r="D20" s="414" t="str">
        <f>Klassenübersicht!Y39</f>
        <v/>
      </c>
      <c r="E20" s="425">
        <f>Klassenübersicht!Z39</f>
        <v>0</v>
      </c>
      <c r="F20" s="426">
        <f>Begründungen!D19</f>
        <v>0</v>
      </c>
      <c r="G20" s="414"/>
      <c r="H20" s="414"/>
      <c r="I20" s="414"/>
      <c r="J20" s="126"/>
      <c r="K20" s="126"/>
      <c r="L20" s="126"/>
      <c r="M20" s="126"/>
      <c r="N20" s="414"/>
      <c r="O20" s="117"/>
      <c r="P20" s="117"/>
      <c r="Q20" s="117"/>
      <c r="R20" s="117"/>
      <c r="S20" s="117"/>
      <c r="T20" s="117"/>
      <c r="U20" s="117"/>
      <c r="V20" s="117"/>
    </row>
    <row r="21" spans="1:22" ht="15" customHeight="1" x14ac:dyDescent="0.6">
      <c r="A21" s="117"/>
      <c r="B21" s="414">
        <v>17</v>
      </c>
      <c r="C21" s="414">
        <f>Klassenübersicht!C40</f>
        <v>0</v>
      </c>
      <c r="D21" s="414" t="str">
        <f>Klassenübersicht!Y40</f>
        <v/>
      </c>
      <c r="E21" s="425">
        <f>Klassenübersicht!Z40</f>
        <v>0</v>
      </c>
      <c r="F21" s="426">
        <f>Begründungen!D20</f>
        <v>0</v>
      </c>
      <c r="G21" s="414"/>
      <c r="H21" s="414"/>
      <c r="I21" s="414"/>
      <c r="J21" s="126"/>
      <c r="K21" s="126"/>
      <c r="L21" s="126"/>
      <c r="M21" s="126"/>
      <c r="N21" s="414"/>
      <c r="O21" s="117"/>
      <c r="P21" s="117"/>
      <c r="Q21" s="117"/>
      <c r="R21" s="117"/>
      <c r="S21" s="117"/>
      <c r="T21" s="117"/>
      <c r="U21" s="117"/>
      <c r="V21" s="117"/>
    </row>
    <row r="22" spans="1:22" ht="15" customHeight="1" x14ac:dyDescent="0.6">
      <c r="A22" s="117"/>
      <c r="B22" s="414">
        <v>18</v>
      </c>
      <c r="C22" s="414">
        <f>Klassenübersicht!C41</f>
        <v>0</v>
      </c>
      <c r="D22" s="414" t="str">
        <f>Klassenübersicht!Y41</f>
        <v/>
      </c>
      <c r="E22" s="425">
        <f>Klassenübersicht!Z41</f>
        <v>0</v>
      </c>
      <c r="F22" s="426">
        <f>Begründungen!D21</f>
        <v>0</v>
      </c>
      <c r="G22" s="414"/>
      <c r="H22" s="414"/>
      <c r="I22" s="414"/>
      <c r="J22" s="126"/>
      <c r="K22" s="126"/>
      <c r="L22" s="126"/>
      <c r="M22" s="126"/>
      <c r="N22" s="414"/>
      <c r="O22" s="117"/>
      <c r="P22" s="117"/>
      <c r="Q22" s="117"/>
      <c r="R22" s="117"/>
      <c r="S22" s="117"/>
      <c r="T22" s="117"/>
      <c r="U22" s="117"/>
      <c r="V22" s="117"/>
    </row>
    <row r="23" spans="1:22" ht="15" customHeight="1" x14ac:dyDescent="0.6">
      <c r="A23" s="117"/>
      <c r="B23" s="414">
        <v>19</v>
      </c>
      <c r="C23" s="414">
        <f>Klassenübersicht!C42</f>
        <v>0</v>
      </c>
      <c r="D23" s="414" t="str">
        <f>Klassenübersicht!Y42</f>
        <v/>
      </c>
      <c r="E23" s="425">
        <f>Klassenübersicht!Z42</f>
        <v>0</v>
      </c>
      <c r="F23" s="426">
        <f>Begründungen!D22</f>
        <v>0</v>
      </c>
      <c r="G23" s="414"/>
      <c r="H23" s="414"/>
      <c r="I23" s="414"/>
      <c r="J23" s="126"/>
      <c r="K23" s="126"/>
      <c r="L23" s="126"/>
      <c r="M23" s="126"/>
      <c r="N23" s="414"/>
      <c r="O23" s="117"/>
      <c r="P23" s="117"/>
      <c r="Q23" s="117"/>
      <c r="R23" s="117"/>
      <c r="S23" s="117"/>
      <c r="T23" s="117"/>
      <c r="U23" s="117"/>
      <c r="V23" s="117"/>
    </row>
    <row r="24" spans="1:22" ht="15" customHeight="1" x14ac:dyDescent="0.6">
      <c r="A24" s="117"/>
      <c r="B24" s="414">
        <v>20</v>
      </c>
      <c r="C24" s="414">
        <f>Klassenübersicht!C43</f>
        <v>0</v>
      </c>
      <c r="D24" s="414" t="str">
        <f>Klassenübersicht!Y43</f>
        <v/>
      </c>
      <c r="E24" s="425">
        <f>Klassenübersicht!Z43</f>
        <v>0</v>
      </c>
      <c r="F24" s="426">
        <f>Begründungen!D23</f>
        <v>0</v>
      </c>
      <c r="G24" s="414"/>
      <c r="H24" s="414"/>
      <c r="I24" s="414"/>
      <c r="J24" s="126"/>
      <c r="K24" s="126"/>
      <c r="L24" s="126"/>
      <c r="M24" s="126"/>
      <c r="N24" s="414"/>
      <c r="O24" s="117"/>
      <c r="P24" s="117"/>
      <c r="Q24" s="117"/>
      <c r="R24" s="117"/>
      <c r="S24" s="117"/>
      <c r="T24" s="117"/>
      <c r="U24" s="117"/>
      <c r="V24" s="117"/>
    </row>
    <row r="25" spans="1:22" ht="15" customHeight="1" x14ac:dyDescent="0.6">
      <c r="A25" s="117"/>
      <c r="B25" s="414">
        <v>21</v>
      </c>
      <c r="C25" s="414">
        <f>Klassenübersicht!C44</f>
        <v>0</v>
      </c>
      <c r="D25" s="414" t="str">
        <f>Klassenübersicht!Y44</f>
        <v/>
      </c>
      <c r="E25" s="425">
        <f>Klassenübersicht!Z44</f>
        <v>0</v>
      </c>
      <c r="F25" s="426">
        <f>Begründungen!D24</f>
        <v>0</v>
      </c>
      <c r="G25" s="414"/>
      <c r="H25" s="414"/>
      <c r="I25" s="414"/>
      <c r="J25" s="126"/>
      <c r="K25" s="126"/>
      <c r="L25" s="126"/>
      <c r="M25" s="126"/>
      <c r="N25" s="414"/>
      <c r="O25" s="117"/>
      <c r="P25" s="117"/>
      <c r="Q25" s="117"/>
      <c r="R25" s="117"/>
      <c r="S25" s="117"/>
      <c r="T25" s="117"/>
      <c r="U25" s="117"/>
      <c r="V25" s="117"/>
    </row>
    <row r="26" spans="1:22" ht="15" customHeight="1" x14ac:dyDescent="0.6">
      <c r="A26" s="117"/>
      <c r="B26" s="414">
        <v>22</v>
      </c>
      <c r="C26" s="414">
        <f>Klassenübersicht!C45</f>
        <v>0</v>
      </c>
      <c r="D26" s="414" t="str">
        <f>Klassenübersicht!Y45</f>
        <v/>
      </c>
      <c r="E26" s="425">
        <f>Klassenübersicht!Z45</f>
        <v>0</v>
      </c>
      <c r="F26" s="426">
        <f>Begründungen!D25</f>
        <v>0</v>
      </c>
      <c r="G26" s="414"/>
      <c r="H26" s="414"/>
      <c r="I26" s="414"/>
      <c r="J26" s="126"/>
      <c r="K26" s="126"/>
      <c r="L26" s="126"/>
      <c r="M26" s="126"/>
      <c r="N26" s="414"/>
      <c r="O26" s="117"/>
      <c r="P26" s="117"/>
      <c r="Q26" s="117"/>
      <c r="R26" s="117"/>
      <c r="S26" s="117"/>
      <c r="T26" s="117"/>
      <c r="U26" s="117"/>
      <c r="V26" s="117"/>
    </row>
    <row r="27" spans="1:22" ht="15" customHeight="1" x14ac:dyDescent="0.6">
      <c r="A27" s="117"/>
      <c r="B27" s="414">
        <v>23</v>
      </c>
      <c r="C27" s="414">
        <f>Klassenübersicht!C46</f>
        <v>0</v>
      </c>
      <c r="D27" s="414" t="str">
        <f>Klassenübersicht!Y46</f>
        <v/>
      </c>
      <c r="E27" s="425">
        <f>Klassenübersicht!Z46</f>
        <v>0</v>
      </c>
      <c r="F27" s="426">
        <f>Begründungen!D26</f>
        <v>0</v>
      </c>
      <c r="G27" s="414"/>
      <c r="H27" s="414"/>
      <c r="I27" s="414"/>
      <c r="J27" s="126"/>
      <c r="K27" s="126"/>
      <c r="L27" s="126"/>
      <c r="M27" s="126"/>
      <c r="N27" s="414"/>
      <c r="O27" s="117"/>
      <c r="P27" s="117"/>
      <c r="Q27" s="117"/>
      <c r="R27" s="117"/>
      <c r="S27" s="117"/>
      <c r="T27" s="117"/>
      <c r="U27" s="117"/>
      <c r="V27" s="117"/>
    </row>
    <row r="28" spans="1:22" ht="15" customHeight="1" x14ac:dyDescent="0.6">
      <c r="A28" s="117"/>
      <c r="B28" s="414">
        <v>24</v>
      </c>
      <c r="C28" s="414">
        <f>Klassenübersicht!C47</f>
        <v>0</v>
      </c>
      <c r="D28" s="414" t="str">
        <f>Klassenübersicht!Y47</f>
        <v/>
      </c>
      <c r="E28" s="425">
        <f>Klassenübersicht!Z47</f>
        <v>0</v>
      </c>
      <c r="F28" s="426">
        <f>Begründungen!D27</f>
        <v>0</v>
      </c>
      <c r="G28" s="414"/>
      <c r="H28" s="414"/>
      <c r="I28" s="414"/>
      <c r="J28" s="126"/>
      <c r="K28" s="126"/>
      <c r="L28" s="126"/>
      <c r="M28" s="126"/>
      <c r="N28" s="414"/>
      <c r="O28" s="117"/>
      <c r="P28" s="117"/>
      <c r="Q28" s="117"/>
      <c r="R28" s="117"/>
      <c r="S28" s="117"/>
      <c r="T28" s="117"/>
      <c r="U28" s="117"/>
      <c r="V28" s="117"/>
    </row>
    <row r="29" spans="1:22" ht="15" customHeight="1" x14ac:dyDescent="0.6">
      <c r="A29" s="117"/>
      <c r="B29" s="414">
        <v>25</v>
      </c>
      <c r="C29" s="414">
        <f>Klassenübersicht!C48</f>
        <v>0</v>
      </c>
      <c r="D29" s="414" t="str">
        <f>Klassenübersicht!Y48</f>
        <v/>
      </c>
      <c r="E29" s="425">
        <f>Klassenübersicht!Z48</f>
        <v>0</v>
      </c>
      <c r="F29" s="426">
        <f>Begründungen!D28</f>
        <v>0</v>
      </c>
      <c r="G29" s="414"/>
      <c r="H29" s="414"/>
      <c r="I29" s="414"/>
      <c r="J29" s="126"/>
      <c r="K29" s="126"/>
      <c r="L29" s="126"/>
      <c r="M29" s="126"/>
      <c r="N29" s="414"/>
      <c r="O29" s="117"/>
      <c r="P29" s="117"/>
      <c r="Q29" s="117"/>
      <c r="R29" s="117"/>
      <c r="S29" s="117"/>
      <c r="T29" s="117"/>
      <c r="U29" s="117"/>
      <c r="V29" s="117"/>
    </row>
    <row r="30" spans="1:22" ht="15" customHeight="1" x14ac:dyDescent="0.6">
      <c r="A30" s="117"/>
      <c r="B30" s="414">
        <v>26</v>
      </c>
      <c r="C30" s="414">
        <f>Klassenübersicht!C49</f>
        <v>0</v>
      </c>
      <c r="D30" s="414" t="str">
        <f>Klassenübersicht!Y49</f>
        <v/>
      </c>
      <c r="E30" s="425">
        <f>Klassenübersicht!Z49</f>
        <v>0</v>
      </c>
      <c r="F30" s="426">
        <f>Begründungen!D29</f>
        <v>0</v>
      </c>
      <c r="G30" s="414"/>
      <c r="H30" s="414"/>
      <c r="I30" s="414"/>
      <c r="J30" s="126"/>
      <c r="K30" s="126"/>
      <c r="L30" s="126"/>
      <c r="M30" s="126"/>
      <c r="N30" s="414"/>
      <c r="O30" s="117"/>
      <c r="P30" s="117"/>
      <c r="Q30" s="117"/>
      <c r="R30" s="117"/>
      <c r="S30" s="117"/>
      <c r="T30" s="117"/>
      <c r="U30" s="117"/>
      <c r="V30" s="117"/>
    </row>
    <row r="31" spans="1:22" ht="15" customHeight="1" x14ac:dyDescent="0.6">
      <c r="A31" s="117"/>
      <c r="B31" s="414">
        <v>27</v>
      </c>
      <c r="C31" s="414">
        <f>Klassenübersicht!C50</f>
        <v>0</v>
      </c>
      <c r="D31" s="414" t="str">
        <f>Klassenübersicht!Y50</f>
        <v/>
      </c>
      <c r="E31" s="425">
        <f>Klassenübersicht!Z50</f>
        <v>0</v>
      </c>
      <c r="F31" s="426">
        <f>Begründungen!D30</f>
        <v>0</v>
      </c>
      <c r="G31" s="414"/>
      <c r="H31" s="414"/>
      <c r="I31" s="414"/>
      <c r="J31" s="126"/>
      <c r="K31" s="126"/>
      <c r="L31" s="126"/>
      <c r="M31" s="126"/>
      <c r="N31" s="414"/>
      <c r="O31" s="117"/>
      <c r="P31" s="117"/>
      <c r="Q31" s="117"/>
      <c r="R31" s="117"/>
      <c r="S31" s="117"/>
      <c r="T31" s="117"/>
      <c r="U31" s="117"/>
      <c r="V31" s="117"/>
    </row>
    <row r="32" spans="1:22" ht="15" customHeight="1" x14ac:dyDescent="0.6">
      <c r="A32" s="117"/>
      <c r="B32" s="414">
        <v>28</v>
      </c>
      <c r="C32" s="414">
        <f>Klassenübersicht!C51</f>
        <v>0</v>
      </c>
      <c r="D32" s="414" t="str">
        <f>Klassenübersicht!Y51</f>
        <v/>
      </c>
      <c r="E32" s="425">
        <f>Klassenübersicht!Z51</f>
        <v>0</v>
      </c>
      <c r="F32" s="426">
        <f>Begründungen!D31</f>
        <v>0</v>
      </c>
      <c r="G32" s="414"/>
      <c r="H32" s="414"/>
      <c r="I32" s="414"/>
      <c r="J32" s="126"/>
      <c r="K32" s="126"/>
      <c r="L32" s="126"/>
      <c r="M32" s="126"/>
      <c r="N32" s="414"/>
      <c r="O32" s="117"/>
      <c r="P32" s="117"/>
      <c r="Q32" s="117"/>
      <c r="R32" s="117"/>
      <c r="S32" s="117"/>
      <c r="T32" s="117"/>
      <c r="U32" s="117"/>
      <c r="V32" s="117"/>
    </row>
    <row r="33" spans="1:22" x14ac:dyDescent="0.6">
      <c r="A33" s="117"/>
      <c r="B33" s="117"/>
      <c r="C33" s="117"/>
      <c r="D33" s="117"/>
      <c r="E33" s="117"/>
      <c r="F33" s="427"/>
      <c r="G33" s="117"/>
      <c r="H33" s="117"/>
      <c r="I33" s="117"/>
      <c r="J33" s="364"/>
      <c r="K33" s="364"/>
      <c r="L33" s="364"/>
      <c r="M33" s="364"/>
      <c r="N33" s="117"/>
      <c r="O33" s="117"/>
      <c r="P33" s="117"/>
      <c r="Q33" s="117"/>
      <c r="R33" s="117"/>
      <c r="S33" s="117"/>
      <c r="T33" s="117"/>
      <c r="U33" s="117"/>
      <c r="V33" s="117"/>
    </row>
    <row r="34" spans="1:22" ht="96.75" customHeight="1" x14ac:dyDescent="0.6">
      <c r="A34" s="117"/>
      <c r="B34" s="117"/>
      <c r="C34" s="117"/>
      <c r="D34" s="117"/>
      <c r="E34" s="117"/>
      <c r="F34" s="428" t="str">
        <f>IF(VLOOKUP($H$5,$B$5:$F$32,5,FALSE)=0,"",VLOOKUP($H$5,$B$5:$F$32,5,FALSE))</f>
        <v/>
      </c>
      <c r="G34" s="117"/>
      <c r="H34" s="117"/>
      <c r="I34" s="117"/>
      <c r="J34" s="364"/>
      <c r="K34" s="364"/>
      <c r="L34" s="364"/>
      <c r="M34" s="364"/>
      <c r="N34" s="117"/>
      <c r="O34" s="117"/>
      <c r="P34" s="117"/>
      <c r="Q34" s="117"/>
      <c r="R34" s="117"/>
      <c r="S34" s="117"/>
      <c r="T34" s="117"/>
      <c r="U34" s="117"/>
      <c r="V34" s="117"/>
    </row>
    <row r="35" spans="1:22" x14ac:dyDescent="0.6">
      <c r="A35" s="117"/>
      <c r="B35" s="117"/>
      <c r="C35" s="117"/>
      <c r="D35" s="117"/>
      <c r="E35" s="117"/>
      <c r="F35" s="117"/>
      <c r="G35" s="117"/>
      <c r="H35" s="117"/>
      <c r="I35" s="117"/>
      <c r="J35" s="364"/>
      <c r="K35" s="364"/>
      <c r="L35" s="364"/>
      <c r="M35" s="364"/>
      <c r="N35" s="117"/>
      <c r="O35" s="117"/>
      <c r="P35" s="117"/>
      <c r="Q35" s="117"/>
    </row>
    <row r="36" spans="1:22" x14ac:dyDescent="0.6">
      <c r="A36" s="117"/>
      <c r="B36" s="117"/>
      <c r="C36" s="117"/>
      <c r="D36" s="117"/>
      <c r="E36" s="117"/>
      <c r="F36" s="117"/>
      <c r="G36" s="117"/>
      <c r="H36" s="117"/>
      <c r="I36" s="117"/>
      <c r="J36" s="364"/>
      <c r="K36" s="364"/>
      <c r="L36" s="364"/>
      <c r="M36" s="364"/>
      <c r="N36" s="117"/>
      <c r="O36" s="117"/>
      <c r="P36" s="117"/>
      <c r="Q36" s="117"/>
    </row>
    <row r="37" spans="1:22" x14ac:dyDescent="0.6">
      <c r="A37" s="117"/>
      <c r="B37" s="117"/>
      <c r="C37" s="117"/>
      <c r="D37" s="117"/>
      <c r="E37" s="117"/>
      <c r="F37" s="117"/>
      <c r="G37" s="117"/>
      <c r="H37" s="117"/>
      <c r="I37" s="117"/>
      <c r="J37" s="364"/>
      <c r="K37" s="364"/>
      <c r="L37" s="364"/>
      <c r="M37" s="364"/>
      <c r="N37" s="117"/>
      <c r="O37" s="117"/>
      <c r="P37" s="117"/>
      <c r="Q37" s="117"/>
    </row>
    <row r="38" spans="1:22" x14ac:dyDescent="0.6">
      <c r="A38" s="117"/>
      <c r="B38" s="117"/>
      <c r="C38" s="117"/>
      <c r="D38" s="117"/>
      <c r="E38" s="117"/>
      <c r="F38" s="117"/>
      <c r="G38" s="117"/>
      <c r="H38" s="117"/>
      <c r="I38" s="117"/>
      <c r="J38" s="364"/>
      <c r="K38" s="364"/>
      <c r="L38" s="364"/>
      <c r="M38" s="364"/>
    </row>
    <row r="39" spans="1:22" x14ac:dyDescent="0.6">
      <c r="A39" s="117"/>
      <c r="B39" s="117"/>
      <c r="C39" s="117"/>
      <c r="D39" s="117"/>
      <c r="E39" s="117"/>
      <c r="F39" s="117"/>
      <c r="G39" s="117"/>
      <c r="H39" s="117"/>
      <c r="I39" s="117"/>
      <c r="J39" s="364"/>
      <c r="K39" s="364"/>
      <c r="L39" s="364"/>
      <c r="M39" s="364"/>
    </row>
    <row r="40" spans="1:22" x14ac:dyDescent="0.6">
      <c r="A40" s="117"/>
      <c r="B40" s="117"/>
      <c r="C40" s="117"/>
      <c r="D40" s="117"/>
      <c r="E40" s="117"/>
      <c r="F40" s="117"/>
      <c r="G40" s="117"/>
      <c r="H40" s="117"/>
      <c r="I40" s="117"/>
      <c r="J40" s="364"/>
      <c r="K40" s="364"/>
      <c r="L40" s="364"/>
      <c r="M40" s="364"/>
    </row>
  </sheetData>
  <sheetProtection password="C570" sheet="1" objects="1" scenarios="1" selectLockedCells="1"/>
  <pageMargins left="0.7" right="0.7" top="0.78740157499999996" bottom="0.78740157499999996" header="0.3" footer="0.3"/>
  <pageSetup paperSize="9" orientation="portrait"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0.796875" defaultRowHeight="15.6" x14ac:dyDescent="0.6"/>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31"/>
  <sheetViews>
    <sheetView zoomScale="80" zoomScaleNormal="80" workbookViewId="0">
      <selection activeCell="D13" sqref="D13"/>
    </sheetView>
  </sheetViews>
  <sheetFormatPr defaultColWidth="10.796875" defaultRowHeight="15.6" x14ac:dyDescent="0.6"/>
  <cols>
    <col min="2" max="2" width="6.34765625" customWidth="1"/>
    <col min="3" max="3" width="20.09765625" customWidth="1"/>
    <col min="4" max="4" width="74.5" customWidth="1"/>
  </cols>
  <sheetData>
    <row r="2" spans="2:4" ht="15.9" thickBot="1" x14ac:dyDescent="0.65"/>
    <row r="3" spans="2:4" ht="18.899999999999999" thickTop="1" thickBot="1" x14ac:dyDescent="0.75">
      <c r="B3" s="410"/>
      <c r="C3" s="411" t="s">
        <v>18</v>
      </c>
      <c r="D3" s="412" t="s">
        <v>112</v>
      </c>
    </row>
    <row r="4" spans="2:4" x14ac:dyDescent="0.6">
      <c r="B4" s="420">
        <v>1</v>
      </c>
      <c r="C4" s="419" t="str">
        <f>IF(Klassenübersicht!C24="","",Klassenübersicht!C24)</f>
        <v/>
      </c>
      <c r="D4" s="409"/>
    </row>
    <row r="5" spans="2:4" x14ac:dyDescent="0.6">
      <c r="B5" s="421">
        <f>B4+1</f>
        <v>2</v>
      </c>
      <c r="C5" s="419" t="str">
        <f>IF(Klassenübersicht!C25="","",Klassenübersicht!C25)</f>
        <v/>
      </c>
      <c r="D5" s="409"/>
    </row>
    <row r="6" spans="2:4" x14ac:dyDescent="0.6">
      <c r="B6" s="421">
        <f t="shared" ref="B6:B31" si="0">B5+1</f>
        <v>3</v>
      </c>
      <c r="C6" s="419" t="str">
        <f>IF(Klassenübersicht!C26="","",Klassenübersicht!C26)</f>
        <v/>
      </c>
      <c r="D6" s="409"/>
    </row>
    <row r="7" spans="2:4" x14ac:dyDescent="0.6">
      <c r="B7" s="421">
        <f t="shared" si="0"/>
        <v>4</v>
      </c>
      <c r="C7" s="419" t="str">
        <f>IF(Klassenübersicht!C27="","",Klassenübersicht!C27)</f>
        <v/>
      </c>
      <c r="D7" s="409"/>
    </row>
    <row r="8" spans="2:4" x14ac:dyDescent="0.6">
      <c r="B8" s="421">
        <f t="shared" si="0"/>
        <v>5</v>
      </c>
      <c r="C8" s="419" t="str">
        <f>IF(Klassenübersicht!C28="","",Klassenübersicht!C28)</f>
        <v/>
      </c>
      <c r="D8" s="409"/>
    </row>
    <row r="9" spans="2:4" x14ac:dyDescent="0.6">
      <c r="B9" s="421">
        <f t="shared" si="0"/>
        <v>6</v>
      </c>
      <c r="C9" s="419" t="str">
        <f>IF(Klassenübersicht!C29="","",Klassenübersicht!C29)</f>
        <v/>
      </c>
      <c r="D9" s="409"/>
    </row>
    <row r="10" spans="2:4" x14ac:dyDescent="0.6">
      <c r="B10" s="421">
        <f t="shared" si="0"/>
        <v>7</v>
      </c>
      <c r="C10" s="419" t="str">
        <f>IF(Klassenübersicht!C30="","",Klassenübersicht!C30)</f>
        <v/>
      </c>
      <c r="D10" s="409"/>
    </row>
    <row r="11" spans="2:4" x14ac:dyDescent="0.6">
      <c r="B11" s="421">
        <f t="shared" si="0"/>
        <v>8</v>
      </c>
      <c r="C11" s="419" t="str">
        <f>IF(Klassenübersicht!C31="","",Klassenübersicht!C31)</f>
        <v/>
      </c>
      <c r="D11" s="409"/>
    </row>
    <row r="12" spans="2:4" x14ac:dyDescent="0.6">
      <c r="B12" s="421">
        <f t="shared" si="0"/>
        <v>9</v>
      </c>
      <c r="C12" s="419" t="str">
        <f>IF(Klassenübersicht!C32="","",Klassenübersicht!C32)</f>
        <v/>
      </c>
      <c r="D12" s="409"/>
    </row>
    <row r="13" spans="2:4" x14ac:dyDescent="0.6">
      <c r="B13" s="421">
        <f t="shared" si="0"/>
        <v>10</v>
      </c>
      <c r="C13" s="419" t="str">
        <f>IF(Klassenübersicht!C33="","",Klassenübersicht!C33)</f>
        <v/>
      </c>
      <c r="D13" s="409"/>
    </row>
    <row r="14" spans="2:4" x14ac:dyDescent="0.6">
      <c r="B14" s="421">
        <f t="shared" si="0"/>
        <v>11</v>
      </c>
      <c r="C14" s="419" t="str">
        <f>IF(Klassenübersicht!C34="","",Klassenübersicht!C34)</f>
        <v/>
      </c>
      <c r="D14" s="409"/>
    </row>
    <row r="15" spans="2:4" x14ac:dyDescent="0.6">
      <c r="B15" s="421">
        <f t="shared" si="0"/>
        <v>12</v>
      </c>
      <c r="C15" s="419" t="str">
        <f>IF(Klassenübersicht!C35="","",Klassenübersicht!C35)</f>
        <v/>
      </c>
      <c r="D15" s="409"/>
    </row>
    <row r="16" spans="2:4" x14ac:dyDescent="0.6">
      <c r="B16" s="421">
        <f t="shared" si="0"/>
        <v>13</v>
      </c>
      <c r="C16" s="419" t="str">
        <f>IF(Klassenübersicht!C36="","",Klassenübersicht!C36)</f>
        <v/>
      </c>
      <c r="D16" s="409"/>
    </row>
    <row r="17" spans="2:4" x14ac:dyDescent="0.6">
      <c r="B17" s="421">
        <f t="shared" si="0"/>
        <v>14</v>
      </c>
      <c r="C17" s="419" t="str">
        <f>IF(Klassenübersicht!C37="","",Klassenübersicht!C37)</f>
        <v/>
      </c>
      <c r="D17" s="409"/>
    </row>
    <row r="18" spans="2:4" x14ac:dyDescent="0.6">
      <c r="B18" s="421">
        <f t="shared" si="0"/>
        <v>15</v>
      </c>
      <c r="C18" s="419" t="str">
        <f>IF(Klassenübersicht!C38="","",Klassenübersicht!C38)</f>
        <v/>
      </c>
      <c r="D18" s="409"/>
    </row>
    <row r="19" spans="2:4" x14ac:dyDescent="0.6">
      <c r="B19" s="421">
        <f t="shared" si="0"/>
        <v>16</v>
      </c>
      <c r="C19" s="419" t="str">
        <f>IF(Klassenübersicht!C39="","",Klassenübersicht!C39)</f>
        <v/>
      </c>
      <c r="D19" s="409"/>
    </row>
    <row r="20" spans="2:4" x14ac:dyDescent="0.6">
      <c r="B20" s="421">
        <f t="shared" si="0"/>
        <v>17</v>
      </c>
      <c r="C20" s="419" t="str">
        <f>IF(Klassenübersicht!C40="","",Klassenübersicht!C40)</f>
        <v/>
      </c>
      <c r="D20" s="409"/>
    </row>
    <row r="21" spans="2:4" x14ac:dyDescent="0.6">
      <c r="B21" s="421">
        <f t="shared" si="0"/>
        <v>18</v>
      </c>
      <c r="C21" s="419" t="str">
        <f>IF(Klassenübersicht!C41="","",Klassenübersicht!C41)</f>
        <v/>
      </c>
      <c r="D21" s="409"/>
    </row>
    <row r="22" spans="2:4" x14ac:dyDescent="0.6">
      <c r="B22" s="421">
        <f t="shared" si="0"/>
        <v>19</v>
      </c>
      <c r="C22" s="419" t="str">
        <f>IF(Klassenübersicht!C42="","",Klassenübersicht!C42)</f>
        <v/>
      </c>
      <c r="D22" s="409"/>
    </row>
    <row r="23" spans="2:4" x14ac:dyDescent="0.6">
      <c r="B23" s="421">
        <f t="shared" si="0"/>
        <v>20</v>
      </c>
      <c r="C23" s="419" t="str">
        <f>IF(Klassenübersicht!C43="","",Klassenübersicht!C43)</f>
        <v/>
      </c>
      <c r="D23" s="409"/>
    </row>
    <row r="24" spans="2:4" x14ac:dyDescent="0.6">
      <c r="B24" s="421">
        <f t="shared" si="0"/>
        <v>21</v>
      </c>
      <c r="C24" s="419" t="str">
        <f>IF(Klassenübersicht!C44="","",Klassenübersicht!C44)</f>
        <v/>
      </c>
      <c r="D24" s="409"/>
    </row>
    <row r="25" spans="2:4" x14ac:dyDescent="0.6">
      <c r="B25" s="421">
        <f t="shared" si="0"/>
        <v>22</v>
      </c>
      <c r="C25" s="419" t="str">
        <f>IF(Klassenübersicht!C45="","",Klassenübersicht!C45)</f>
        <v/>
      </c>
      <c r="D25" s="409"/>
    </row>
    <row r="26" spans="2:4" x14ac:dyDescent="0.6">
      <c r="B26" s="421">
        <f t="shared" si="0"/>
        <v>23</v>
      </c>
      <c r="C26" s="419" t="str">
        <f>IF(Klassenübersicht!C46="","",Klassenübersicht!C46)</f>
        <v/>
      </c>
      <c r="D26" s="409"/>
    </row>
    <row r="27" spans="2:4" x14ac:dyDescent="0.6">
      <c r="B27" s="421">
        <f t="shared" si="0"/>
        <v>24</v>
      </c>
      <c r="C27" s="419" t="str">
        <f>IF(Klassenübersicht!C47="","",Klassenübersicht!C47)</f>
        <v/>
      </c>
      <c r="D27" s="409"/>
    </row>
    <row r="28" spans="2:4" x14ac:dyDescent="0.6">
      <c r="B28" s="421">
        <f t="shared" si="0"/>
        <v>25</v>
      </c>
      <c r="C28" s="419" t="str">
        <f>IF(Klassenübersicht!C48="","",Klassenübersicht!C48)</f>
        <v/>
      </c>
      <c r="D28" s="409"/>
    </row>
    <row r="29" spans="2:4" x14ac:dyDescent="0.6">
      <c r="B29" s="421">
        <f t="shared" si="0"/>
        <v>26</v>
      </c>
      <c r="C29" s="419" t="str">
        <f>IF(Klassenübersicht!C49="","",Klassenübersicht!C49)</f>
        <v/>
      </c>
      <c r="D29" s="409"/>
    </row>
    <row r="30" spans="2:4" x14ac:dyDescent="0.6">
      <c r="B30" s="421">
        <f t="shared" si="0"/>
        <v>27</v>
      </c>
      <c r="C30" s="419" t="str">
        <f>IF(Klassenübersicht!C50="","",Klassenübersicht!C50)</f>
        <v/>
      </c>
      <c r="D30" s="409"/>
    </row>
    <row r="31" spans="2:4" x14ac:dyDescent="0.6">
      <c r="B31" s="421">
        <f t="shared" si="0"/>
        <v>28</v>
      </c>
      <c r="C31" s="419" t="str">
        <f>IF(Klassenübersicht!C51="","",Klassenübersicht!C51)</f>
        <v/>
      </c>
      <c r="D31" s="409"/>
    </row>
  </sheetData>
  <sheetProtection password="C570" sheet="1" objects="1" scenarios="1" selectLockedCells="1"/>
  <pageMargins left="0.51181102362204722" right="0.51181102362204722" top="0.39370078740157483" bottom="0.19685039370078741" header="0" footer="0"/>
  <pageSetup paperSize="9" scale="8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1" id="{A30BA901-BB4E-4340-B85B-B232F10C58B4}">
            <xm:f>Planungsblatt!$C$11=0</xm:f>
            <x14:dxf>
              <fill>
                <patternFill>
                  <bgColor theme="0" tint="-0.14996795556505021"/>
                </patternFill>
              </fill>
            </x14:dxf>
          </x14:cfRule>
          <xm:sqref>D4:D31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Planungsblatt</vt:lpstr>
      <vt:lpstr>Klassenübersicht</vt:lpstr>
      <vt:lpstr>Einzel</vt:lpstr>
      <vt:lpstr>Hilfstabelle</vt:lpstr>
      <vt:lpstr>Tabelle1</vt:lpstr>
      <vt:lpstr>Begründungen</vt:lpstr>
      <vt:lpstr>Begründungen!Print_Area</vt:lpstr>
      <vt:lpstr>Einzel!Print_Area</vt:lpstr>
      <vt:lpstr>Klassenübersicht!Print_Area</vt:lpstr>
      <vt:lpstr>Planungsblatt!Print_Area</vt:lpstr>
    </vt:vector>
  </TitlesOfParts>
  <Company>Bundesinstitut Bifie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Tanzmeister Ingrid</dc:creator>
  <cp:lastModifiedBy>Lis Polzleitner</cp:lastModifiedBy>
  <cp:lastPrinted>2015-04-22T10:13:44Z</cp:lastPrinted>
  <dcterms:created xsi:type="dcterms:W3CDTF">2012-11-20T13:54:34Z</dcterms:created>
  <dcterms:modified xsi:type="dcterms:W3CDTF">2016-04-08T18:20:51Z</dcterms:modified>
</cp:coreProperties>
</file>